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6F96289-0FA7-499D-85F2-B17C2B9AA393}" xr6:coauthVersionLast="47" xr6:coauthVersionMax="47" xr10:uidLastSave="{00000000-0000-0000-0000-000000000000}"/>
  <bookViews>
    <workbookView xWindow="-120" yWindow="-120" windowWidth="29040" windowHeight="15720" activeTab="1" xr2:uid="{9D316688-EEC5-48F1-BE43-EB18DB2A46DD}"/>
  </bookViews>
  <sheets>
    <sheet name="Хүснэгт1" sheetId="1" r:id="rId1"/>
    <sheet name="Хүснэгт 2" sheetId="2" r:id="rId2"/>
    <sheet name="Хөрөнгө оруулалт" sheetId="3" r:id="rId3"/>
    <sheet name="Sheet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3" i="4" l="1"/>
  <c r="F5" i="4"/>
  <c r="F6" i="4"/>
  <c r="F7" i="4"/>
  <c r="F8" i="4"/>
  <c r="F2" i="4"/>
  <c r="I35" i="3"/>
  <c r="I44" i="3"/>
  <c r="F44" i="3"/>
  <c r="G44" i="3"/>
  <c r="H44" i="3"/>
  <c r="G35" i="3"/>
  <c r="H35" i="3"/>
  <c r="I43" i="3"/>
  <c r="H47" i="2"/>
  <c r="F35" i="3"/>
  <c r="G23" i="3"/>
  <c r="G45" i="3" s="1"/>
  <c r="H22" i="3"/>
  <c r="I22" i="3" s="1"/>
  <c r="H21" i="3"/>
  <c r="I21" i="3" s="1"/>
  <c r="I20" i="3"/>
  <c r="H19" i="3"/>
  <c r="I19" i="3" s="1"/>
  <c r="H18" i="3"/>
  <c r="I18" i="3" s="1"/>
  <c r="H17" i="3"/>
  <c r="I17" i="3" s="1"/>
  <c r="E16" i="3"/>
  <c r="F16" i="3" s="1"/>
  <c r="H16" i="3" s="1"/>
  <c r="I16" i="3" s="1"/>
  <c r="E15" i="3"/>
  <c r="F15" i="3" s="1"/>
  <c r="H15" i="3" s="1"/>
  <c r="I15" i="3" s="1"/>
  <c r="E14" i="3"/>
  <c r="F14" i="3" s="1"/>
  <c r="H14" i="3" s="1"/>
  <c r="I14" i="3" s="1"/>
  <c r="E13" i="3"/>
  <c r="F13" i="3" s="1"/>
  <c r="H13" i="3" s="1"/>
  <c r="I13" i="3" s="1"/>
  <c r="E12" i="3"/>
  <c r="F12" i="3" s="1"/>
  <c r="H12" i="3" s="1"/>
  <c r="I12" i="3" s="1"/>
  <c r="F11" i="3"/>
  <c r="H11" i="3" s="1"/>
  <c r="I11" i="3" s="1"/>
  <c r="E11" i="3"/>
  <c r="F10" i="3"/>
  <c r="H10" i="3" s="1"/>
  <c r="I10" i="3" s="1"/>
  <c r="E10" i="3"/>
  <c r="E9" i="3"/>
  <c r="F9" i="3" s="1"/>
  <c r="H9" i="3" s="1"/>
  <c r="I9" i="3" s="1"/>
  <c r="E8" i="3"/>
  <c r="F8" i="3" s="1"/>
  <c r="I49" i="2"/>
  <c r="H18" i="2"/>
  <c r="J18" i="2"/>
  <c r="J47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19" i="2"/>
  <c r="E47" i="2"/>
  <c r="E51" i="2" s="1"/>
  <c r="F47" i="2"/>
  <c r="F51" i="2" s="1"/>
  <c r="G47" i="2"/>
  <c r="G51" i="2" s="1"/>
  <c r="D47" i="2"/>
  <c r="I9" i="2"/>
  <c r="I10" i="2"/>
  <c r="I11" i="2"/>
  <c r="I12" i="2"/>
  <c r="I13" i="2"/>
  <c r="I14" i="2"/>
  <c r="I16" i="2"/>
  <c r="I17" i="2"/>
  <c r="I8" i="2"/>
  <c r="E18" i="2"/>
  <c r="E48" i="2" s="1"/>
  <c r="F18" i="2"/>
  <c r="F48" i="2" s="1"/>
  <c r="G18" i="2"/>
  <c r="I18" i="2" s="1"/>
  <c r="D18" i="2"/>
  <c r="D51" i="2" s="1"/>
  <c r="H31" i="1"/>
  <c r="F9" i="4" l="1"/>
  <c r="D48" i="2"/>
  <c r="G48" i="2"/>
  <c r="I47" i="2"/>
  <c r="I51" i="2" s="1"/>
  <c r="F23" i="3"/>
  <c r="F45" i="3" s="1"/>
  <c r="H51" i="2"/>
  <c r="H8" i="3"/>
  <c r="H48" i="2"/>
  <c r="J48" i="2"/>
  <c r="I48" i="2" l="1"/>
  <c r="I8" i="3"/>
  <c r="I23" i="3" s="1"/>
  <c r="I45" i="3" s="1"/>
  <c r="H23" i="3"/>
  <c r="H45" i="3" s="1"/>
  <c r="H50" i="2" l="1"/>
  <c r="H36" i="1"/>
  <c r="J36" i="1" s="1"/>
  <c r="I50" i="2" l="1"/>
  <c r="J50" i="2"/>
</calcChain>
</file>

<file path=xl/sharedStrings.xml><?xml version="1.0" encoding="utf-8"?>
<sst xmlns="http://schemas.openxmlformats.org/spreadsheetml/2006/main" count="286" uniqueCount="158">
  <si>
    <t>(мян.төг)</t>
  </si>
  <si>
    <t>№</t>
  </si>
  <si>
    <t>Эдийн засгийн үндсэн үзүүлэлт</t>
  </si>
  <si>
    <t>Х.нэгж</t>
  </si>
  <si>
    <t>2023 оны гүйцэтгэл</t>
  </si>
  <si>
    <t>2024 оны</t>
  </si>
  <si>
    <t xml:space="preserve">2025 оны төлөвлөгөө </t>
  </si>
  <si>
    <t xml:space="preserve">2025 оны төлөвлөгөө тодотгол </t>
  </si>
  <si>
    <t>Харьцуулалт</t>
  </si>
  <si>
    <t>Төлөвлөгөө</t>
  </si>
  <si>
    <t>2025 тод/                2025 төл</t>
  </si>
  <si>
    <t>2025 тод-              2025 төл</t>
  </si>
  <si>
    <t>Бүтээгдэхүүн үйлдвэрлэлт гол нэр төрлөөр:</t>
  </si>
  <si>
    <t xml:space="preserve">Авто замын барилгын ажлын техник, технологийн хяналт </t>
  </si>
  <si>
    <t>мян.төг</t>
  </si>
  <si>
    <t xml:space="preserve">Авто замын засвар арчлалт хариуцсан компаниудын техник, технологийн хяналт </t>
  </si>
  <si>
    <t>Лабораторийн сорил шинжилгээний ажил, тоног төхөөрөмжийн түрээс, замын чанар, байдлын судалгаа, дүгнэлт</t>
  </si>
  <si>
    <t>Техник ашиглалтын түвшин тогтоох ажил</t>
  </si>
  <si>
    <t>Хөдөлгөөний эрчмийн судалгаа</t>
  </si>
  <si>
    <t>Эрдэм шинжилгээ судалгаа, стандарт, норм дүрэм боловсруулах</t>
  </si>
  <si>
    <t>Зураг төсөл төсвийн экспертизийн үйл ажиллагаа</t>
  </si>
  <si>
    <t>Төлбөр хураах цэгээс ЗХЗ, бусад орлого</t>
  </si>
  <si>
    <t>Төсөл арга хэмжээний орлого</t>
  </si>
  <si>
    <t>Үйл ажиллагааны бусад орлого</t>
  </si>
  <si>
    <t>Нийт орлого</t>
  </si>
  <si>
    <t>Нийт зардал</t>
  </si>
  <si>
    <t>Үүнээс: Удирдлагын зардал</t>
  </si>
  <si>
    <t xml:space="preserve">Татварын өмнөх ашиг </t>
  </si>
  <si>
    <t>Цэвэр ашиг /алдагдал/</t>
  </si>
  <si>
    <t>Төсвийн төлбөрт нийт дүн</t>
  </si>
  <si>
    <t xml:space="preserve">а/Орлогын татварт </t>
  </si>
  <si>
    <t>б/НӨТ</t>
  </si>
  <si>
    <t>в/НДШ</t>
  </si>
  <si>
    <t>г/Хүн амын орлогын татвар</t>
  </si>
  <si>
    <t>д/Үл хөдлөх хөрөнгийн татвар</t>
  </si>
  <si>
    <t>е/гаалийн татвар</t>
  </si>
  <si>
    <t>ё/Тээврийн хэрэгслийн татвар</t>
  </si>
  <si>
    <t>ж/Бусад татвар</t>
  </si>
  <si>
    <t>Төрийн өмчийн ногдол ашиг</t>
  </si>
  <si>
    <t>Нийт ажиллагсадын тоо</t>
  </si>
  <si>
    <t>хүн</t>
  </si>
  <si>
    <t>Нийт цалингийн сан</t>
  </si>
  <si>
    <t>Нэг ажилтны дундаж цалин</t>
  </si>
  <si>
    <t>Борлуулалтын 1 төгрөгт ногдох зардал</t>
  </si>
  <si>
    <t>төг</t>
  </si>
  <si>
    <t>Хөрөнгө оруулалт</t>
  </si>
  <si>
    <t>Нийт авлага</t>
  </si>
  <si>
    <t xml:space="preserve">       Үүнээс: Найдваргүй</t>
  </si>
  <si>
    <t>Нийт өглөг</t>
  </si>
  <si>
    <t xml:space="preserve">       Богино хугацаат өр төлбөр</t>
  </si>
  <si>
    <t xml:space="preserve">       Урт хугацаат өр төлбөр</t>
  </si>
  <si>
    <t xml:space="preserve">"ЗАМ, ТЭЭВРИЙН ХӨГЖЛИЙН ТӨВ" ТӨРИЙН ӨМЧИТ ҮЙЛДВЭРИЙН ГАЗРЫН      
2025 ОНЫ ЭДИЙН ЗАСГИЙН ҮНДСЭН ҮЗҮҮЛЭЛТ, ЗОРИЛТОТ ТҮВШИНГИЙН ТОДОТГОЛ </t>
  </si>
  <si>
    <t xml:space="preserve">Гүйцэтгэл </t>
  </si>
  <si>
    <t>Зардлын нэр</t>
  </si>
  <si>
    <t xml:space="preserve">Хэмжих нэгж </t>
  </si>
  <si>
    <t>Тоо ширхэг</t>
  </si>
  <si>
    <t>Нэгж дүн</t>
  </si>
  <si>
    <t>Дүн</t>
  </si>
  <si>
    <t>Тодотгосон төлөвлөгөө</t>
  </si>
  <si>
    <t>Өөрчлөлт</t>
  </si>
  <si>
    <t>Тоо хэмжээ</t>
  </si>
  <si>
    <t xml:space="preserve">Нийт үнэ </t>
  </si>
  <si>
    <t xml:space="preserve">1. Компьютер, тоног төхөөрөмж худалдан авах </t>
  </si>
  <si>
    <t xml:space="preserve">Зөөврийн компьютер </t>
  </si>
  <si>
    <t>ширхэг</t>
  </si>
  <si>
    <t>Суурин компьютер</t>
  </si>
  <si>
    <t>Өнгөт принтер А3</t>
  </si>
  <si>
    <t>Canon MAXIFY GX7070, Хэвлэх Хувилах Сканер Факс, 600x1200dpi Printer</t>
  </si>
  <si>
    <t>2 ТВ Зөөврийн хард диск</t>
  </si>
  <si>
    <t>Сканнер</t>
  </si>
  <si>
    <t>Компьютерын дэлгэц /хамгаалттай/</t>
  </si>
  <si>
    <t>ROMDAS-н мэдээллийн сангийн сервер тоноглох</t>
  </si>
  <si>
    <t xml:space="preserve">багц </t>
  </si>
  <si>
    <t>Зөөврийн компьютер /төсөл/</t>
  </si>
  <si>
    <t>Суурин компьютер /төсөл/</t>
  </si>
  <si>
    <t>Дэлгэц /төсөл/</t>
  </si>
  <si>
    <t>Принтер А4 өнгөт /төсөл/</t>
  </si>
  <si>
    <t>Принтер А3 өнгөт /төсөл/</t>
  </si>
  <si>
    <t xml:space="preserve">Дүн </t>
  </si>
  <si>
    <t xml:space="preserve"> 2. Багаж тоног төхөөрөмж </t>
  </si>
  <si>
    <t>Гар GPS</t>
  </si>
  <si>
    <t>Термометр</t>
  </si>
  <si>
    <t>Түрдэг метр</t>
  </si>
  <si>
    <t>ДСП багаж</t>
  </si>
  <si>
    <t>SSI odometr</t>
  </si>
  <si>
    <t>Нивелир /ZDL 700 маркийн дижитал/</t>
  </si>
  <si>
    <t>Рейк /5 метрийн/</t>
  </si>
  <si>
    <t>GPS GNSS /Base/Rover иж бүрдэл CHCNAV i83/</t>
  </si>
  <si>
    <t xml:space="preserve">Багаж тоног төхөөрөмж </t>
  </si>
  <si>
    <t xml:space="preserve">Унтлага сууц /4x6 хэмжээ/ </t>
  </si>
  <si>
    <t xml:space="preserve">Оффис сууц  /4x6 хэмжээ/ </t>
  </si>
  <si>
    <t xml:space="preserve">3. Бусад </t>
  </si>
  <si>
    <t>Конторын барилгын гадна тохижилтын ажил</t>
  </si>
  <si>
    <t xml:space="preserve">Конторын барилгын гүйцэтгээгүй үнийн дүн </t>
  </si>
  <si>
    <t>Конторын барилгын бохирын холболтын ажил /зураг, төсөл/</t>
  </si>
  <si>
    <t>Нийт дүн</t>
  </si>
  <si>
    <t>"ЗАМ, ТЭЭВРИЙН ХӨГЖЛИЙН ТӨВ" ТӨРИЙН ӨМЧИТ ҮЙЛДВЭРИЙН ГАЗРЫН 2025 ОНЫ ХӨРӨНГӨ ОРУУЛАЛТЫН ТӨЛӨВЛӨГӨӨНИЙ ТОДОТГОЛ</t>
  </si>
  <si>
    <t>Үзүүлэлт</t>
  </si>
  <si>
    <t>Хэмжих нэгж</t>
  </si>
  <si>
    <t xml:space="preserve">2023 оны Гүйцэтгэл </t>
  </si>
  <si>
    <t>2024 оны төлөвлөгөө</t>
  </si>
  <si>
    <t xml:space="preserve">2024 оны Гүйцэтгэл </t>
  </si>
  <si>
    <t>2025 оны төлөвлөгөө тодотгол</t>
  </si>
  <si>
    <t xml:space="preserve">Харьцуулалт </t>
  </si>
  <si>
    <t>2025 тод/ 2025 төл</t>
  </si>
  <si>
    <t>2025 тод- 2025 төл</t>
  </si>
  <si>
    <t>Лабораторийн сорил шинжилгээний ажил, тоног төхөөрөмжийн түрээс</t>
  </si>
  <si>
    <t>Эрдэм шинжилгээ судалгаа, стандарт, норм дүрэм боловсруулах үйл ажиллагаа</t>
  </si>
  <si>
    <t>Зураг төслийн баримт бичгийг магадлан хянах үйл ажиллагаа</t>
  </si>
  <si>
    <t>Үйл  ажиллагааны бусад орлого</t>
  </si>
  <si>
    <t>НИЙТ ОРЛОГЫН ДҮН</t>
  </si>
  <si>
    <t>Үндсэн ба нэмэгдэл цалин</t>
  </si>
  <si>
    <t>НДШ</t>
  </si>
  <si>
    <t>Бичиг хэргийн зардал</t>
  </si>
  <si>
    <t>Халаалт, дулаан</t>
  </si>
  <si>
    <t>Цахилгааны зардал</t>
  </si>
  <si>
    <t>Хог хаягдлын зардал</t>
  </si>
  <si>
    <t>Шатахууны зардал</t>
  </si>
  <si>
    <t>Шуудан, холбооны зардал</t>
  </si>
  <si>
    <t>Дотоод албан томилолт</t>
  </si>
  <si>
    <t>Гадаад албан томилолт</t>
  </si>
  <si>
    <t>Зар сурталчилгааны зардал</t>
  </si>
  <si>
    <t>Хөдөлмөр хамгааллын зардал</t>
  </si>
  <si>
    <t>Аж ахуй,  дотоод хэрэгцээний зардал</t>
  </si>
  <si>
    <t>Түүхий эд материалын зардал</t>
  </si>
  <si>
    <t>Урсгал засвар, сэлбэгийн зардал</t>
  </si>
  <si>
    <t>Төлбөр хураамжийн зардал</t>
  </si>
  <si>
    <t>Түрээсийн зардал</t>
  </si>
  <si>
    <t>Сургалт семинарын зардал</t>
  </si>
  <si>
    <t>Нэг удаагийн тэтгэмж, шагналын зардал</t>
  </si>
  <si>
    <t>Мэдээлэл,технологийн үйлчилгээ</t>
  </si>
  <si>
    <t>Тэтгэвэрт гарахад олгох 1 удаагийн тэтгэмж</t>
  </si>
  <si>
    <t>Ахмад настны арга хэмжээний зардал</t>
  </si>
  <si>
    <t>Газрын төлбөр</t>
  </si>
  <si>
    <t>Автомашинтай холбогдон гарах татвар, даатгал</t>
  </si>
  <si>
    <t>Төсөл арга хэмжээ үйл ажиллагааны бус бусад зардал</t>
  </si>
  <si>
    <t>Аудитын зардал</t>
  </si>
  <si>
    <t>Элэгдлийн зардал</t>
  </si>
  <si>
    <t xml:space="preserve">Бусдаар гүйцэтгүүлсэн ажил үйлчилгээ </t>
  </si>
  <si>
    <t>НИЙТ ЗАРДЛЫН ДҮН</t>
  </si>
  <si>
    <t>Нийт ашиг</t>
  </si>
  <si>
    <t>Цэвэр ашиг</t>
  </si>
  <si>
    <t xml:space="preserve">Борлуулалтын 1₮ ногдох зардал </t>
  </si>
  <si>
    <t xml:space="preserve">Архивын тоног төхөөрөмж </t>
  </si>
  <si>
    <t>Лабораторийн барилгын гадна пасад, дээвэр, ариун цэвэр болон архивын өрөөний засварын ажил</t>
  </si>
  <si>
    <t>.....o0o…..</t>
  </si>
  <si>
    <t xml:space="preserve">Зам, тээврийн хөгжлийн төв ТӨҮГын захирлын 2025 оны 
05 дугаар сарын . . . ны өдрийн . . . дугаар албан тоотын хавсралт </t>
  </si>
  <si>
    <t>40 тонн чингэлэг</t>
  </si>
  <si>
    <t>Нэр</t>
  </si>
  <si>
    <t>Техникийн шаардлага</t>
  </si>
  <si>
    <t xml:space="preserve">I7-13650HX 32GB Ram, 1 TB SSD RTX4060 6 GB, цүнх, usb mouse бусад дагалдах хэрэгсэл </t>
  </si>
  <si>
    <t>I7 -1355U 32 GB Ram, 512 GB SSD, 15.6” Notebook, цүнх, usb mouse бусад дагалдах хэрэгсэл</t>
  </si>
  <si>
    <t>i7-14700 32 gb Ram, 512 GB SSD8+ pro 24 plus monitor P2425H+keyboard+usb mouse бусад дагалдах хэрэгсэл</t>
  </si>
  <si>
    <t>Pro 24 plus monitor P2425H бусад дагалдах хэрэгсэл</t>
  </si>
  <si>
    <t xml:space="preserve">Олон үйлдэлт принтер А4 өнгөт </t>
  </si>
  <si>
    <t>Үйлдлүүд: Хэвлэх (хоёр талдаа автоматаар татаж өнгөт болон хараар хэвлэдэг  байх) Хувилах,  сканердах (олон хуудсыг нэгэн зэрэг автоматаар татдаг байх).</t>
  </si>
  <si>
    <t xml:space="preserve">Олон үйлдэлт принтер А3 өнгөт </t>
  </si>
  <si>
    <t xml:space="preserve">Нэгж үнэ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</si>
</sst>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0000_);\(#,##0.00000\)"/>
    <numFmt numFmtId="167" formatCode="_(* #,##0.0_);_(* \(#,##0.0\);_(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8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10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1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43" fontId="10" fillId="0" borderId="1" xfId="1" applyFont="1" applyBorder="1" applyAlignment="1">
      <alignment vertical="center"/>
    </xf>
    <xf numFmtId="0" fontId="10" fillId="0" borderId="0" xfId="0" applyFont="1"/>
    <xf numFmtId="165" fontId="10" fillId="0" borderId="0" xfId="1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left"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1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5" fontId="11" fillId="2" borderId="1" xfId="1" applyNumberFormat="1" applyFont="1" applyFill="1" applyBorder="1" applyAlignment="1">
      <alignment vertical="center"/>
    </xf>
    <xf numFmtId="164" fontId="11" fillId="0" borderId="1" xfId="1" applyNumberFormat="1" applyFont="1" applyBorder="1" applyAlignment="1">
      <alignment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left" vertical="center" wrapText="1"/>
    </xf>
    <xf numFmtId="165" fontId="11" fillId="4" borderId="1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left" vertical="center"/>
    </xf>
    <xf numFmtId="164" fontId="11" fillId="2" borderId="1" xfId="1" applyNumberFormat="1" applyFont="1" applyFill="1" applyBorder="1" applyAlignment="1">
      <alignment horizontal="right" vertical="center"/>
    </xf>
    <xf numFmtId="164" fontId="11" fillId="2" borderId="1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3" fontId="11" fillId="0" borderId="1" xfId="2" applyNumberFormat="1" applyFont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5" fontId="11" fillId="0" borderId="1" xfId="4" applyNumberFormat="1" applyFont="1" applyFill="1" applyBorder="1" applyAlignment="1">
      <alignment horizontal="center" vertical="center"/>
    </xf>
    <xf numFmtId="166" fontId="10" fillId="0" borderId="0" xfId="0" applyNumberFormat="1" applyFont="1"/>
    <xf numFmtId="164" fontId="10" fillId="0" borderId="0" xfId="0" applyNumberFormat="1" applyFont="1"/>
    <xf numFmtId="43" fontId="10" fillId="0" borderId="0" xfId="0" applyNumberFormat="1" applyFont="1"/>
    <xf numFmtId="43" fontId="10" fillId="0" borderId="0" xfId="1" applyFont="1"/>
    <xf numFmtId="164" fontId="6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vertical="center"/>
    </xf>
    <xf numFmtId="4" fontId="10" fillId="2" borderId="1" xfId="3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vertical="center" wrapText="1"/>
    </xf>
    <xf numFmtId="164" fontId="13" fillId="2" borderId="1" xfId="1" applyNumberFormat="1" applyFont="1" applyFill="1" applyBorder="1"/>
    <xf numFmtId="164" fontId="10" fillId="0" borderId="1" xfId="1" applyNumberFormat="1" applyFont="1" applyFill="1" applyBorder="1" applyAlignment="1">
      <alignment wrapText="1"/>
    </xf>
    <xf numFmtId="0" fontId="11" fillId="2" borderId="1" xfId="2" applyFont="1" applyFill="1" applyBorder="1" applyAlignment="1">
      <alignment horizontal="center"/>
    </xf>
    <xf numFmtId="43" fontId="11" fillId="0" borderId="1" xfId="2" applyNumberFormat="1" applyFont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167" fontId="10" fillId="0" borderId="0" xfId="0" applyNumberFormat="1" applyFont="1"/>
    <xf numFmtId="165" fontId="10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/>
    <xf numFmtId="0" fontId="14" fillId="0" borderId="1" xfId="0" applyFont="1" applyBorder="1" applyAlignment="1">
      <alignment horizontal="justify" vertical="center" wrapText="1"/>
    </xf>
    <xf numFmtId="43" fontId="14" fillId="5" borderId="0" xfId="1" applyFont="1" applyFill="1" applyAlignment="1">
      <alignment vertical="center"/>
    </xf>
    <xf numFmtId="43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65" fontId="14" fillId="0" borderId="1" xfId="1" applyNumberFormat="1" applyFont="1" applyBorder="1" applyAlignment="1">
      <alignment vertical="center"/>
    </xf>
    <xf numFmtId="165" fontId="14" fillId="0" borderId="1" xfId="0" applyNumberFormat="1" applyFont="1" applyBorder="1"/>
    <xf numFmtId="165" fontId="14" fillId="0" borderId="1" xfId="1" applyNumberFormat="1" applyFont="1" applyBorder="1"/>
    <xf numFmtId="3" fontId="11" fillId="2" borderId="1" xfId="2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164" fontId="10" fillId="0" borderId="6" xfId="1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8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left" vertical="center"/>
    </xf>
    <xf numFmtId="0" fontId="8" fillId="2" borderId="0" xfId="2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left"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</cellXfs>
  <cellStyles count="5">
    <cellStyle name="Comma" xfId="1" builtinId="3"/>
    <cellStyle name="Comma 2 2 3" xfId="3" xr:uid="{B4ADAC38-F309-4D3D-943E-E636FC0DADE0}"/>
    <cellStyle name="Comma 3" xfId="4" xr:uid="{D3611C2D-D12F-4E8D-9B5D-F85822CA8D4D}"/>
    <cellStyle name="Normal" xfId="0" builtinId="0"/>
    <cellStyle name="Normal 2 2" xfId="2" xr:uid="{A4A4ECD8-9F65-4386-A00C-CF3C6B609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40CA-9242-4DB5-ADC3-DF8E361F9AF7}">
  <sheetPr>
    <tabColor rgb="FF92D050"/>
  </sheetPr>
  <dimension ref="A1:J44"/>
  <sheetViews>
    <sheetView topLeftCell="A25" workbookViewId="0">
      <selection activeCell="H36" sqref="H36"/>
    </sheetView>
  </sheetViews>
  <sheetFormatPr defaultRowHeight="15" x14ac:dyDescent="0.25"/>
  <cols>
    <col min="1" max="1" width="4.7109375" style="8" bestFit="1" customWidth="1"/>
    <col min="2" max="2" width="35" style="8" customWidth="1"/>
    <col min="3" max="3" width="9.5703125" style="8" bestFit="1" customWidth="1"/>
    <col min="4" max="4" width="14.28515625" style="8" customWidth="1"/>
    <col min="5" max="6" width="13.42578125" style="8" bestFit="1" customWidth="1"/>
    <col min="7" max="7" width="14.5703125" style="8" customWidth="1"/>
    <col min="8" max="8" width="14.85546875" style="8" customWidth="1"/>
    <col min="9" max="9" width="10.5703125" style="8" customWidth="1"/>
    <col min="10" max="10" width="14" style="11" customWidth="1"/>
    <col min="11" max="16384" width="9.140625" style="8"/>
  </cols>
  <sheetData>
    <row r="1" spans="1:10" ht="36.75" customHeight="1" x14ac:dyDescent="0.25">
      <c r="A1" s="1"/>
      <c r="B1" s="2"/>
      <c r="C1" s="3"/>
      <c r="D1" s="3"/>
      <c r="E1" s="3"/>
      <c r="F1" s="98" t="s">
        <v>146</v>
      </c>
      <c r="G1" s="98"/>
      <c r="H1" s="98"/>
      <c r="I1" s="98"/>
      <c r="J1" s="98"/>
    </row>
    <row r="2" spans="1:10" x14ac:dyDescent="0.2">
      <c r="A2" s="1"/>
      <c r="B2" s="2"/>
      <c r="C2" s="3"/>
      <c r="D2" s="3"/>
      <c r="E2" s="3"/>
      <c r="F2" s="3"/>
      <c r="G2" s="3"/>
      <c r="H2" s="3"/>
      <c r="I2" s="3"/>
      <c r="J2" s="19"/>
    </row>
    <row r="3" spans="1:10" ht="35.25" customHeight="1" x14ac:dyDescent="0.25">
      <c r="A3" s="103" t="s">
        <v>51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5" t="s">
        <v>0</v>
      </c>
    </row>
    <row r="5" spans="1:10" s="13" customFormat="1" ht="23.25" customHeight="1" x14ac:dyDescent="0.25">
      <c r="A5" s="110" t="s">
        <v>1</v>
      </c>
      <c r="B5" s="110" t="s">
        <v>2</v>
      </c>
      <c r="C5" s="110" t="s">
        <v>3</v>
      </c>
      <c r="D5" s="110" t="s">
        <v>4</v>
      </c>
      <c r="E5" s="108" t="s">
        <v>5</v>
      </c>
      <c r="F5" s="109"/>
      <c r="G5" s="110" t="s">
        <v>6</v>
      </c>
      <c r="H5" s="110" t="s">
        <v>7</v>
      </c>
      <c r="I5" s="108" t="s">
        <v>8</v>
      </c>
      <c r="J5" s="109"/>
    </row>
    <row r="6" spans="1:10" s="13" customFormat="1" ht="32.25" customHeight="1" x14ac:dyDescent="0.25">
      <c r="A6" s="111"/>
      <c r="B6" s="111"/>
      <c r="C6" s="111"/>
      <c r="D6" s="111"/>
      <c r="E6" s="12" t="s">
        <v>9</v>
      </c>
      <c r="F6" s="12" t="s">
        <v>52</v>
      </c>
      <c r="G6" s="111"/>
      <c r="H6" s="111"/>
      <c r="I6" s="14" t="s">
        <v>10</v>
      </c>
      <c r="J6" s="15" t="s">
        <v>11</v>
      </c>
    </row>
    <row r="7" spans="1:10" x14ac:dyDescent="0.25">
      <c r="A7" s="105" t="s">
        <v>12</v>
      </c>
      <c r="B7" s="106"/>
      <c r="C7" s="107"/>
      <c r="D7" s="9"/>
      <c r="E7" s="9"/>
      <c r="F7" s="9"/>
      <c r="G7" s="9"/>
      <c r="H7" s="9"/>
      <c r="I7" s="9"/>
      <c r="J7" s="10"/>
    </row>
    <row r="8" spans="1:10" ht="28.5" x14ac:dyDescent="0.25">
      <c r="A8" s="99">
        <v>1</v>
      </c>
      <c r="B8" s="12" t="s">
        <v>13</v>
      </c>
      <c r="C8" s="9" t="s">
        <v>14</v>
      </c>
      <c r="D8" s="9">
        <v>3089900</v>
      </c>
      <c r="E8" s="9">
        <v>3895940</v>
      </c>
      <c r="F8" s="9">
        <v>4218329.0999999996</v>
      </c>
      <c r="G8" s="9">
        <v>4926158.1000000006</v>
      </c>
      <c r="H8" s="9">
        <v>4420600</v>
      </c>
      <c r="I8" s="9">
        <v>0.89737274165033387</v>
      </c>
      <c r="J8" s="10">
        <v>-505558.10000000056</v>
      </c>
    </row>
    <row r="9" spans="1:10" ht="42.75" x14ac:dyDescent="0.25">
      <c r="A9" s="101"/>
      <c r="B9" s="12" t="s">
        <v>15</v>
      </c>
      <c r="C9" s="9" t="s">
        <v>14</v>
      </c>
      <c r="D9" s="9">
        <v>2123485</v>
      </c>
      <c r="E9" s="9">
        <v>2324083</v>
      </c>
      <c r="F9" s="9">
        <v>1261947.6000000001</v>
      </c>
      <c r="G9" s="9">
        <v>2343033</v>
      </c>
      <c r="H9" s="9">
        <v>1220939.1000000001</v>
      </c>
      <c r="I9" s="9">
        <v>0.52109342890176968</v>
      </c>
      <c r="J9" s="10">
        <v>-1122093.8999999999</v>
      </c>
    </row>
    <row r="10" spans="1:10" ht="71.25" x14ac:dyDescent="0.25">
      <c r="A10" s="101"/>
      <c r="B10" s="12" t="s">
        <v>16</v>
      </c>
      <c r="C10" s="9" t="s">
        <v>14</v>
      </c>
      <c r="D10" s="9">
        <v>725074</v>
      </c>
      <c r="E10" s="9">
        <v>515000</v>
      </c>
      <c r="F10" s="9">
        <v>321001.2</v>
      </c>
      <c r="G10" s="9">
        <v>379999.99999999994</v>
      </c>
      <c r="H10" s="9">
        <v>379999.99999999994</v>
      </c>
      <c r="I10" s="9">
        <v>1</v>
      </c>
      <c r="J10" s="10">
        <v>0</v>
      </c>
    </row>
    <row r="11" spans="1:10" ht="28.5" x14ac:dyDescent="0.25">
      <c r="A11" s="101"/>
      <c r="B11" s="12" t="s">
        <v>17</v>
      </c>
      <c r="C11" s="9" t="s">
        <v>14</v>
      </c>
      <c r="D11" s="9">
        <v>599777</v>
      </c>
      <c r="E11" s="9">
        <v>580000</v>
      </c>
      <c r="F11" s="9">
        <v>668410.9</v>
      </c>
      <c r="G11" s="9">
        <v>880000</v>
      </c>
      <c r="H11" s="9">
        <v>880000</v>
      </c>
      <c r="I11" s="9">
        <v>1</v>
      </c>
      <c r="J11" s="10">
        <v>0</v>
      </c>
    </row>
    <row r="12" spans="1:10" x14ac:dyDescent="0.25">
      <c r="A12" s="101"/>
      <c r="B12" s="12" t="s">
        <v>18</v>
      </c>
      <c r="C12" s="9" t="s">
        <v>14</v>
      </c>
      <c r="D12" s="9">
        <v>136363.6</v>
      </c>
      <c r="E12" s="9">
        <v>400000</v>
      </c>
      <c r="F12" s="9">
        <v>319909</v>
      </c>
      <c r="G12" s="9">
        <v>150000</v>
      </c>
      <c r="H12" s="9">
        <v>150000</v>
      </c>
      <c r="I12" s="9">
        <v>1</v>
      </c>
      <c r="J12" s="10">
        <v>0</v>
      </c>
    </row>
    <row r="13" spans="1:10" ht="42.75" x14ac:dyDescent="0.25">
      <c r="A13" s="101"/>
      <c r="B13" s="12" t="s">
        <v>19</v>
      </c>
      <c r="C13" s="9" t="s">
        <v>14</v>
      </c>
      <c r="D13" s="9">
        <v>91636.4</v>
      </c>
      <c r="E13" s="9">
        <v>100780</v>
      </c>
      <c r="F13" s="9">
        <v>183336.8</v>
      </c>
      <c r="G13" s="9">
        <v>268891.80625000002</v>
      </c>
      <c r="H13" s="9">
        <v>268891.80625000002</v>
      </c>
      <c r="I13" s="9">
        <v>1</v>
      </c>
      <c r="J13" s="10">
        <v>0</v>
      </c>
    </row>
    <row r="14" spans="1:10" ht="28.5" x14ac:dyDescent="0.25">
      <c r="A14" s="101"/>
      <c r="B14" s="12" t="s">
        <v>20</v>
      </c>
      <c r="C14" s="9" t="s">
        <v>14</v>
      </c>
      <c r="D14" s="9">
        <v>517810</v>
      </c>
      <c r="E14" s="9">
        <v>640000</v>
      </c>
      <c r="F14" s="9">
        <v>1870008.9</v>
      </c>
      <c r="G14" s="9">
        <v>1135825.6799999997</v>
      </c>
      <c r="H14" s="9">
        <v>1135825.6799999997</v>
      </c>
      <c r="I14" s="9">
        <v>1</v>
      </c>
      <c r="J14" s="10">
        <v>0</v>
      </c>
    </row>
    <row r="15" spans="1:10" x14ac:dyDescent="0.25">
      <c r="A15" s="101"/>
      <c r="B15" s="12" t="s">
        <v>22</v>
      </c>
      <c r="C15" s="9" t="s">
        <v>14</v>
      </c>
      <c r="D15" s="9">
        <v>182758</v>
      </c>
      <c r="E15" s="9">
        <v>485000</v>
      </c>
      <c r="F15" s="9"/>
      <c r="G15" s="9">
        <v>320000</v>
      </c>
      <c r="H15" s="9">
        <v>9433636.3636363633</v>
      </c>
      <c r="I15" s="9">
        <v>29.480113636363637</v>
      </c>
      <c r="J15" s="10">
        <v>9113636.3636363633</v>
      </c>
    </row>
    <row r="16" spans="1:10" x14ac:dyDescent="0.25">
      <c r="A16" s="100"/>
      <c r="B16" s="12" t="s">
        <v>23</v>
      </c>
      <c r="C16" s="9" t="s">
        <v>14</v>
      </c>
      <c r="D16" s="9">
        <v>110852</v>
      </c>
      <c r="E16" s="9">
        <v>130881.4</v>
      </c>
      <c r="F16" s="9">
        <v>220141</v>
      </c>
      <c r="G16" s="9">
        <v>34000</v>
      </c>
      <c r="H16" s="9">
        <v>34000</v>
      </c>
      <c r="I16" s="9">
        <v>1</v>
      </c>
      <c r="J16" s="10">
        <v>0</v>
      </c>
    </row>
    <row r="17" spans="1:10" s="11" customFormat="1" x14ac:dyDescent="0.25">
      <c r="A17" s="17">
        <v>2</v>
      </c>
      <c r="B17" s="10" t="s">
        <v>24</v>
      </c>
      <c r="C17" s="10" t="s">
        <v>14</v>
      </c>
      <c r="D17" s="10">
        <v>7577656</v>
      </c>
      <c r="E17" s="10">
        <v>9071684.4000000004</v>
      </c>
      <c r="F17" s="10">
        <v>9063084.5</v>
      </c>
      <c r="G17" s="10">
        <v>10437908.586250002</v>
      </c>
      <c r="H17" s="10">
        <v>17923892.949886363</v>
      </c>
      <c r="I17" s="10">
        <v>1.7171919836027065</v>
      </c>
      <c r="J17" s="10">
        <v>7485984.3636363614</v>
      </c>
    </row>
    <row r="18" spans="1:10" s="11" customFormat="1" x14ac:dyDescent="0.25">
      <c r="A18" s="104">
        <v>3</v>
      </c>
      <c r="B18" s="10" t="s">
        <v>25</v>
      </c>
      <c r="C18" s="10" t="s">
        <v>14</v>
      </c>
      <c r="D18" s="10">
        <v>7482244.7000000002</v>
      </c>
      <c r="E18" s="10">
        <v>9039048</v>
      </c>
      <c r="F18" s="10">
        <v>8851541.5</v>
      </c>
      <c r="G18" s="10">
        <v>10355704.0536652</v>
      </c>
      <c r="H18" s="10">
        <v>17507559.040318184</v>
      </c>
      <c r="I18" s="10">
        <v>1.6906198699374499</v>
      </c>
      <c r="J18" s="10">
        <v>7151854.9866529834</v>
      </c>
    </row>
    <row r="19" spans="1:10" x14ac:dyDescent="0.25">
      <c r="A19" s="100"/>
      <c r="B19" s="9" t="s">
        <v>26</v>
      </c>
      <c r="C19" s="9" t="s">
        <v>14</v>
      </c>
      <c r="D19" s="9">
        <v>225000</v>
      </c>
      <c r="E19" s="9">
        <v>225000</v>
      </c>
      <c r="F19" s="9">
        <v>253713.55836000002</v>
      </c>
      <c r="G19" s="9">
        <v>258750</v>
      </c>
      <c r="H19" s="9">
        <v>258750</v>
      </c>
      <c r="I19" s="9">
        <v>1</v>
      </c>
      <c r="J19" s="10">
        <v>0</v>
      </c>
    </row>
    <row r="20" spans="1:10" x14ac:dyDescent="0.25">
      <c r="A20" s="16">
        <v>4</v>
      </c>
      <c r="B20" s="9" t="s">
        <v>27</v>
      </c>
      <c r="C20" s="9" t="s">
        <v>14</v>
      </c>
      <c r="D20" s="9">
        <v>95411.481818181463</v>
      </c>
      <c r="E20" s="9">
        <v>32636</v>
      </c>
      <c r="F20" s="9">
        <v>211543</v>
      </c>
      <c r="G20" s="9">
        <v>82204.532584801316</v>
      </c>
      <c r="H20" s="9">
        <v>416333.9095681794</v>
      </c>
      <c r="I20" s="9">
        <v>5.0646101434698112</v>
      </c>
      <c r="J20" s="10">
        <v>334129.37698337808</v>
      </c>
    </row>
    <row r="21" spans="1:10" x14ac:dyDescent="0.25">
      <c r="A21" s="16">
        <v>5</v>
      </c>
      <c r="B21" s="9" t="s">
        <v>28</v>
      </c>
      <c r="C21" s="9" t="s">
        <v>14</v>
      </c>
      <c r="D21" s="9">
        <v>85870.333636363313</v>
      </c>
      <c r="E21" s="9">
        <v>29372</v>
      </c>
      <c r="F21" s="9">
        <v>190388.7</v>
      </c>
      <c r="G21" s="9">
        <v>73984.079326321182</v>
      </c>
      <c r="H21" s="9">
        <v>374700.51861136145</v>
      </c>
      <c r="I21" s="9">
        <v>5.0646101434698121</v>
      </c>
      <c r="J21" s="10">
        <v>300716.43928504025</v>
      </c>
    </row>
    <row r="22" spans="1:10" s="11" customFormat="1" x14ac:dyDescent="0.25">
      <c r="A22" s="17">
        <v>6</v>
      </c>
      <c r="B22" s="10" t="s">
        <v>29</v>
      </c>
      <c r="C22" s="10" t="s">
        <v>14</v>
      </c>
      <c r="D22" s="10">
        <v>1699485.1481818182</v>
      </c>
      <c r="E22" s="10">
        <v>1920152.6</v>
      </c>
      <c r="F22" s="10">
        <v>1973537.5000000002</v>
      </c>
      <c r="G22" s="10">
        <v>2006750.4622212802</v>
      </c>
      <c r="H22" s="10">
        <v>3549881.3797409092</v>
      </c>
      <c r="I22" s="10">
        <v>1.768970007268134</v>
      </c>
      <c r="J22" s="10">
        <v>1543130.917519629</v>
      </c>
    </row>
    <row r="23" spans="1:10" x14ac:dyDescent="0.25">
      <c r="A23" s="16">
        <v>7</v>
      </c>
      <c r="B23" s="12" t="s">
        <v>30</v>
      </c>
      <c r="C23" s="9" t="s">
        <v>14</v>
      </c>
      <c r="D23" s="9">
        <v>9541.1481818181492</v>
      </c>
      <c r="E23" s="9">
        <v>3263.6</v>
      </c>
      <c r="F23" s="9">
        <v>14769.7</v>
      </c>
      <c r="G23" s="9">
        <v>8220.4532584801345</v>
      </c>
      <c r="H23" s="9">
        <v>41633.390956817944</v>
      </c>
      <c r="I23" s="9">
        <v>5.0646101434698103</v>
      </c>
      <c r="J23" s="10">
        <v>33412.93769833781</v>
      </c>
    </row>
    <row r="24" spans="1:10" x14ac:dyDescent="0.25">
      <c r="A24" s="16">
        <v>8</v>
      </c>
      <c r="B24" s="12" t="s">
        <v>31</v>
      </c>
      <c r="C24" s="9" t="s">
        <v>14</v>
      </c>
      <c r="D24" s="9">
        <v>699126</v>
      </c>
      <c r="E24" s="9">
        <v>731251</v>
      </c>
      <c r="F24" s="9">
        <v>690803.3</v>
      </c>
      <c r="G24" s="9">
        <v>890000</v>
      </c>
      <c r="H24" s="9">
        <v>1635774.2684886367</v>
      </c>
      <c r="I24" s="9">
        <v>1.837948616279367</v>
      </c>
      <c r="J24" s="10">
        <v>745774.26848863671</v>
      </c>
    </row>
    <row r="25" spans="1:10" x14ac:dyDescent="0.25">
      <c r="A25" s="16">
        <v>9</v>
      </c>
      <c r="B25" s="12" t="s">
        <v>32</v>
      </c>
      <c r="C25" s="9" t="s">
        <v>14</v>
      </c>
      <c r="D25" s="9">
        <v>679595</v>
      </c>
      <c r="E25" s="9">
        <v>781112</v>
      </c>
      <c r="F25" s="9">
        <v>890730.1</v>
      </c>
      <c r="G25" s="9">
        <v>627898.00896280003</v>
      </c>
      <c r="H25" s="9">
        <v>1013029.4185909091</v>
      </c>
      <c r="I25" s="9">
        <v>1.6133661902580205</v>
      </c>
      <c r="J25" s="10">
        <v>385131.40962810908</v>
      </c>
    </row>
    <row r="26" spans="1:10" x14ac:dyDescent="0.25">
      <c r="A26" s="16">
        <v>10</v>
      </c>
      <c r="B26" s="12" t="s">
        <v>33</v>
      </c>
      <c r="C26" s="9" t="s">
        <v>14</v>
      </c>
      <c r="D26" s="9">
        <v>266073</v>
      </c>
      <c r="E26" s="9">
        <v>355526</v>
      </c>
      <c r="F26" s="9">
        <v>352370.2</v>
      </c>
      <c r="G26" s="9">
        <v>441221.8</v>
      </c>
      <c r="H26" s="9">
        <v>820034.10170454544</v>
      </c>
      <c r="I26" s="9">
        <v>1.858553003737679</v>
      </c>
      <c r="J26" s="10">
        <v>378812.30170454545</v>
      </c>
    </row>
    <row r="27" spans="1:10" x14ac:dyDescent="0.25">
      <c r="A27" s="16">
        <v>11</v>
      </c>
      <c r="B27" s="12" t="s">
        <v>34</v>
      </c>
      <c r="C27" s="9" t="s">
        <v>14</v>
      </c>
      <c r="D27" s="9">
        <v>28000</v>
      </c>
      <c r="E27" s="9">
        <v>30000</v>
      </c>
      <c r="F27" s="9">
        <v>18692.099999999999</v>
      </c>
      <c r="G27" s="9">
        <v>30000</v>
      </c>
      <c r="H27" s="9">
        <v>30000</v>
      </c>
      <c r="I27" s="9">
        <v>1</v>
      </c>
      <c r="J27" s="10">
        <v>0</v>
      </c>
    </row>
    <row r="28" spans="1:10" x14ac:dyDescent="0.25">
      <c r="A28" s="16">
        <v>12</v>
      </c>
      <c r="B28" s="12" t="s">
        <v>35</v>
      </c>
      <c r="C28" s="9" t="s">
        <v>14</v>
      </c>
      <c r="D28" s="9"/>
      <c r="E28" s="9"/>
      <c r="F28" s="9"/>
      <c r="G28" s="9"/>
      <c r="H28" s="9"/>
      <c r="I28" s="9"/>
      <c r="J28" s="10">
        <v>0</v>
      </c>
    </row>
    <row r="29" spans="1:10" x14ac:dyDescent="0.25">
      <c r="A29" s="16">
        <v>13</v>
      </c>
      <c r="B29" s="12" t="s">
        <v>36</v>
      </c>
      <c r="C29" s="9" t="s">
        <v>14</v>
      </c>
      <c r="D29" s="9">
        <v>10550</v>
      </c>
      <c r="E29" s="9">
        <v>12000</v>
      </c>
      <c r="F29" s="9">
        <v>6172.1</v>
      </c>
      <c r="G29" s="9">
        <v>2610.1999999999998</v>
      </c>
      <c r="H29" s="9">
        <v>2610.1999999999998</v>
      </c>
      <c r="I29" s="9">
        <v>1</v>
      </c>
      <c r="J29" s="10">
        <v>0</v>
      </c>
    </row>
    <row r="30" spans="1:10" x14ac:dyDescent="0.25">
      <c r="A30" s="16">
        <v>14</v>
      </c>
      <c r="B30" s="12" t="s">
        <v>37</v>
      </c>
      <c r="C30" s="9" t="s">
        <v>14</v>
      </c>
      <c r="D30" s="9">
        <v>6600</v>
      </c>
      <c r="E30" s="9">
        <v>7000</v>
      </c>
      <c r="F30" s="9">
        <v>0</v>
      </c>
      <c r="G30" s="9">
        <v>6800</v>
      </c>
      <c r="H30" s="9">
        <v>6800</v>
      </c>
      <c r="I30" s="9">
        <v>1</v>
      </c>
      <c r="J30" s="10">
        <v>0</v>
      </c>
    </row>
    <row r="31" spans="1:10" s="11" customFormat="1" x14ac:dyDescent="0.25">
      <c r="A31" s="17">
        <v>15</v>
      </c>
      <c r="B31" s="80" t="s">
        <v>38</v>
      </c>
      <c r="C31" s="10" t="s">
        <v>14</v>
      </c>
      <c r="D31" s="10">
        <v>42935.166818181657</v>
      </c>
      <c r="E31" s="10">
        <v>14686</v>
      </c>
      <c r="F31" s="10">
        <v>95194.35</v>
      </c>
      <c r="G31" s="10">
        <v>36992.039663160591</v>
      </c>
      <c r="H31" s="10">
        <f>+H21*0.3</f>
        <v>112410.15558340843</v>
      </c>
      <c r="I31" s="10">
        <v>3.0387660860818868</v>
      </c>
      <c r="J31" s="10">
        <v>75418.11592024783</v>
      </c>
    </row>
    <row r="32" spans="1:10" x14ac:dyDescent="0.25">
      <c r="A32" s="16">
        <v>16</v>
      </c>
      <c r="B32" s="12" t="s">
        <v>39</v>
      </c>
      <c r="C32" s="9" t="s">
        <v>40</v>
      </c>
      <c r="D32" s="9">
        <v>139</v>
      </c>
      <c r="E32" s="9">
        <v>139</v>
      </c>
      <c r="F32" s="9">
        <v>139</v>
      </c>
      <c r="G32" s="9">
        <v>147</v>
      </c>
      <c r="H32" s="9">
        <v>259</v>
      </c>
      <c r="I32" s="9">
        <v>1.7619047619047619</v>
      </c>
      <c r="J32" s="10">
        <v>112</v>
      </c>
    </row>
    <row r="33" spans="1:10" x14ac:dyDescent="0.25">
      <c r="A33" s="16">
        <v>17</v>
      </c>
      <c r="B33" s="12" t="s">
        <v>41</v>
      </c>
      <c r="C33" s="9" t="s">
        <v>14</v>
      </c>
      <c r="D33" s="9">
        <v>3350624</v>
      </c>
      <c r="E33" s="9">
        <v>3955851</v>
      </c>
      <c r="F33" s="9">
        <v>4450437.0999999996</v>
      </c>
      <c r="G33" s="9">
        <v>5651082.0806652</v>
      </c>
      <c r="H33" s="9">
        <v>9117264.7673181817</v>
      </c>
      <c r="I33" s="9">
        <v>1.6133661902580205</v>
      </c>
      <c r="J33" s="10">
        <v>3466182.6866529817</v>
      </c>
    </row>
    <row r="34" spans="1:10" x14ac:dyDescent="0.25">
      <c r="A34" s="16">
        <v>18</v>
      </c>
      <c r="B34" s="12" t="s">
        <v>42</v>
      </c>
      <c r="C34" s="9" t="s">
        <v>14</v>
      </c>
      <c r="D34" s="9">
        <v>1480</v>
      </c>
      <c r="E34" s="9">
        <v>1480</v>
      </c>
      <c r="F34" s="9">
        <v>1483</v>
      </c>
      <c r="G34" s="9">
        <v>1483</v>
      </c>
      <c r="H34" s="9">
        <v>2053</v>
      </c>
      <c r="I34" s="9">
        <v>1.3843560350640594</v>
      </c>
      <c r="J34" s="10">
        <v>570</v>
      </c>
    </row>
    <row r="35" spans="1:10" ht="28.5" x14ac:dyDescent="0.25">
      <c r="A35" s="16">
        <v>19</v>
      </c>
      <c r="B35" s="12" t="s">
        <v>43</v>
      </c>
      <c r="C35" s="9" t="s">
        <v>44</v>
      </c>
      <c r="D35" s="18">
        <v>0.98740886363804325</v>
      </c>
      <c r="E35" s="18">
        <v>0.99640238807249504</v>
      </c>
      <c r="F35" s="18">
        <v>0.97665882956293748</v>
      </c>
      <c r="G35" s="18">
        <v>0.99212442493574904</v>
      </c>
      <c r="H35" s="18">
        <v>0.97677212697418958</v>
      </c>
      <c r="I35" s="9">
        <v>0.98452583408320615</v>
      </c>
      <c r="J35" s="10">
        <v>-1.5352297961559458E-2</v>
      </c>
    </row>
    <row r="36" spans="1:10" x14ac:dyDescent="0.25">
      <c r="A36" s="16">
        <v>20</v>
      </c>
      <c r="B36" s="12" t="s">
        <v>45</v>
      </c>
      <c r="C36" s="9" t="s">
        <v>14</v>
      </c>
      <c r="D36" s="9">
        <v>982097</v>
      </c>
      <c r="E36" s="9">
        <v>1633126.9</v>
      </c>
      <c r="F36" s="9">
        <v>39400</v>
      </c>
      <c r="G36" s="9">
        <v>1541443.7999999998</v>
      </c>
      <c r="H36" s="9">
        <f>+'Хөрөнгө оруулалт'!H45</f>
        <v>2576654.2000000002</v>
      </c>
      <c r="I36" s="9">
        <v>1.6625025187424933</v>
      </c>
      <c r="J36" s="10">
        <f>+H36-G36</f>
        <v>1035210.4000000004</v>
      </c>
    </row>
    <row r="37" spans="1:10" x14ac:dyDescent="0.25">
      <c r="A37" s="99">
        <v>21</v>
      </c>
      <c r="B37" s="12" t="s">
        <v>46</v>
      </c>
      <c r="C37" s="9" t="s">
        <v>14</v>
      </c>
      <c r="D37" s="9">
        <v>485774</v>
      </c>
      <c r="E37" s="9">
        <v>480774</v>
      </c>
      <c r="F37" s="9">
        <v>569880.30000000005</v>
      </c>
      <c r="G37" s="9">
        <v>294635</v>
      </c>
      <c r="H37" s="9">
        <v>294635</v>
      </c>
      <c r="I37" s="9">
        <v>1</v>
      </c>
      <c r="J37" s="10">
        <v>0</v>
      </c>
    </row>
    <row r="38" spans="1:10" x14ac:dyDescent="0.25">
      <c r="A38" s="100"/>
      <c r="B38" s="12" t="s">
        <v>47</v>
      </c>
      <c r="C38" s="9" t="s">
        <v>14</v>
      </c>
      <c r="D38" s="9">
        <v>89575</v>
      </c>
      <c r="E38" s="9">
        <v>89575</v>
      </c>
      <c r="F38" s="9">
        <v>89575</v>
      </c>
      <c r="G38" s="9">
        <v>64139.5</v>
      </c>
      <c r="H38" s="9">
        <v>64139.5</v>
      </c>
      <c r="I38" s="9">
        <v>1</v>
      </c>
      <c r="J38" s="10">
        <v>0</v>
      </c>
    </row>
    <row r="39" spans="1:10" x14ac:dyDescent="0.25">
      <c r="A39" s="99">
        <v>22</v>
      </c>
      <c r="B39" s="12" t="s">
        <v>48</v>
      </c>
      <c r="C39" s="9" t="s">
        <v>14</v>
      </c>
      <c r="D39" s="9">
        <v>694604</v>
      </c>
      <c r="E39" s="9">
        <v>594604</v>
      </c>
      <c r="F39" s="9">
        <v>1007044.2</v>
      </c>
      <c r="G39" s="9">
        <v>924034.3</v>
      </c>
      <c r="H39" s="9">
        <v>924034.3</v>
      </c>
      <c r="I39" s="9">
        <v>1</v>
      </c>
      <c r="J39" s="10">
        <v>0</v>
      </c>
    </row>
    <row r="40" spans="1:10" x14ac:dyDescent="0.25">
      <c r="A40" s="101"/>
      <c r="B40" s="12" t="s">
        <v>49</v>
      </c>
      <c r="C40" s="9" t="s">
        <v>14</v>
      </c>
      <c r="D40" s="9">
        <v>141063</v>
      </c>
      <c r="E40" s="9">
        <v>91063</v>
      </c>
      <c r="F40" s="9">
        <v>425960.1</v>
      </c>
      <c r="G40" s="9">
        <v>474535.6</v>
      </c>
      <c r="H40" s="9">
        <v>474535.6</v>
      </c>
      <c r="I40" s="9">
        <v>1</v>
      </c>
      <c r="J40" s="10">
        <v>0</v>
      </c>
    </row>
    <row r="41" spans="1:10" x14ac:dyDescent="0.25">
      <c r="A41" s="100"/>
      <c r="B41" s="12" t="s">
        <v>50</v>
      </c>
      <c r="C41" s="9" t="s">
        <v>14</v>
      </c>
      <c r="D41" s="9">
        <v>553541</v>
      </c>
      <c r="E41" s="9">
        <v>503541</v>
      </c>
      <c r="F41" s="9">
        <v>581084.1</v>
      </c>
      <c r="G41" s="9">
        <v>449498.8</v>
      </c>
      <c r="H41" s="9">
        <v>449498.8</v>
      </c>
      <c r="I41" s="9">
        <v>1</v>
      </c>
      <c r="J41" s="10">
        <v>0</v>
      </c>
    </row>
    <row r="44" spans="1:10" x14ac:dyDescent="0.25">
      <c r="A44" s="102" t="s">
        <v>145</v>
      </c>
      <c r="B44" s="102"/>
      <c r="C44" s="102"/>
      <c r="D44" s="102"/>
      <c r="E44" s="102"/>
      <c r="F44" s="102"/>
      <c r="G44" s="102"/>
      <c r="H44" s="102"/>
      <c r="I44" s="102"/>
      <c r="J44" s="102"/>
    </row>
  </sheetData>
  <mergeCells count="16">
    <mergeCell ref="F1:J1"/>
    <mergeCell ref="A37:A38"/>
    <mergeCell ref="A39:A41"/>
    <mergeCell ref="A44:J44"/>
    <mergeCell ref="A3:J3"/>
    <mergeCell ref="A8:A16"/>
    <mergeCell ref="A18:A19"/>
    <mergeCell ref="A7:C7"/>
    <mergeCell ref="I5:J5"/>
    <mergeCell ref="E5:F5"/>
    <mergeCell ref="C5:C6"/>
    <mergeCell ref="B5:B6"/>
    <mergeCell ref="A5:A6"/>
    <mergeCell ref="D5:D6"/>
    <mergeCell ref="G5:G6"/>
    <mergeCell ref="H5:H6"/>
  </mergeCells>
  <pageMargins left="0.42" right="0.32" top="0.63" bottom="0.39370078740157499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E58B-AF1F-41A9-B3C1-E6AC9E5A2263}">
  <sheetPr>
    <tabColor rgb="FF92D050"/>
  </sheetPr>
  <dimension ref="A2:L58"/>
  <sheetViews>
    <sheetView tabSelected="1" workbookViewId="0">
      <selection activeCell="D27" sqref="D27"/>
    </sheetView>
  </sheetViews>
  <sheetFormatPr defaultRowHeight="14.25" x14ac:dyDescent="0.2"/>
  <cols>
    <col min="1" max="1" width="3.28515625" style="19" bestFit="1" customWidth="1"/>
    <col min="2" max="2" width="42.85546875" style="19" customWidth="1"/>
    <col min="3" max="3" width="9.140625" style="19"/>
    <col min="4" max="6" width="13.42578125" style="19" bestFit="1" customWidth="1"/>
    <col min="7" max="7" width="14.28515625" style="19" bestFit="1" customWidth="1"/>
    <col min="8" max="8" width="14.42578125" style="19" bestFit="1" customWidth="1"/>
    <col min="9" max="9" width="9.28515625" style="19" bestFit="1" customWidth="1"/>
    <col min="10" max="10" width="14" style="19" bestFit="1" customWidth="1"/>
    <col min="11" max="11" width="9.140625" style="19"/>
    <col min="12" max="12" width="20" style="19" bestFit="1" customWidth="1"/>
    <col min="13" max="16384" width="9.140625" style="19"/>
  </cols>
  <sheetData>
    <row r="2" spans="1:10" x14ac:dyDescent="0.2">
      <c r="A2" s="118" t="s">
        <v>51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" x14ac:dyDescent="0.2">
      <c r="A5" s="6"/>
      <c r="B5" s="6"/>
      <c r="C5" s="6"/>
      <c r="D5" s="6"/>
      <c r="E5" s="6"/>
      <c r="F5" s="6"/>
      <c r="G5" s="6"/>
      <c r="H5" s="6"/>
      <c r="I5" s="113" t="s">
        <v>0</v>
      </c>
      <c r="J5" s="113"/>
    </row>
    <row r="6" spans="1:10" ht="15" x14ac:dyDescent="0.2">
      <c r="A6" s="119" t="s">
        <v>1</v>
      </c>
      <c r="B6" s="119" t="s">
        <v>97</v>
      </c>
      <c r="C6" s="119" t="s">
        <v>98</v>
      </c>
      <c r="D6" s="120" t="s">
        <v>99</v>
      </c>
      <c r="E6" s="121" t="s">
        <v>100</v>
      </c>
      <c r="F6" s="120" t="s">
        <v>101</v>
      </c>
      <c r="G6" s="120" t="s">
        <v>6</v>
      </c>
      <c r="H6" s="120" t="s">
        <v>102</v>
      </c>
      <c r="I6" s="120" t="s">
        <v>103</v>
      </c>
      <c r="J6" s="120"/>
    </row>
    <row r="7" spans="1:10" ht="60" x14ac:dyDescent="0.2">
      <c r="A7" s="119"/>
      <c r="B7" s="119"/>
      <c r="C7" s="119"/>
      <c r="D7" s="120"/>
      <c r="E7" s="121"/>
      <c r="F7" s="120"/>
      <c r="G7" s="120"/>
      <c r="H7" s="120"/>
      <c r="I7" s="57" t="s">
        <v>104</v>
      </c>
      <c r="J7" s="57" t="s">
        <v>105</v>
      </c>
    </row>
    <row r="8" spans="1:10" ht="28.5" x14ac:dyDescent="0.2">
      <c r="A8" s="58">
        <v>1</v>
      </c>
      <c r="B8" s="59" t="s">
        <v>13</v>
      </c>
      <c r="C8" s="58" t="s">
        <v>14</v>
      </c>
      <c r="D8" s="60">
        <v>3089900</v>
      </c>
      <c r="E8" s="44">
        <v>3895940</v>
      </c>
      <c r="F8" s="61">
        <v>4218329.1219800003</v>
      </c>
      <c r="G8" s="38">
        <v>4926158.1000000006</v>
      </c>
      <c r="H8" s="38">
        <v>4420600</v>
      </c>
      <c r="I8" s="38">
        <f>+H8/G8</f>
        <v>0.89737274165033387</v>
      </c>
      <c r="J8" s="38">
        <v>-505558.10000000056</v>
      </c>
    </row>
    <row r="9" spans="1:10" ht="28.5" x14ac:dyDescent="0.2">
      <c r="A9" s="58">
        <v>2</v>
      </c>
      <c r="B9" s="59" t="s">
        <v>15</v>
      </c>
      <c r="C9" s="58" t="s">
        <v>14</v>
      </c>
      <c r="D9" s="60">
        <v>2123485</v>
      </c>
      <c r="E9" s="44">
        <v>2324083</v>
      </c>
      <c r="F9" s="61">
        <v>1261947.69726</v>
      </c>
      <c r="G9" s="38">
        <v>2343033</v>
      </c>
      <c r="H9" s="38">
        <v>1220939.1000000001</v>
      </c>
      <c r="I9" s="38">
        <f t="shared" ref="I9:I17" si="0">+H9/G9</f>
        <v>0.52109342890176968</v>
      </c>
      <c r="J9" s="38">
        <v>-1122093.8999999999</v>
      </c>
    </row>
    <row r="10" spans="1:10" ht="28.5" x14ac:dyDescent="0.2">
      <c r="A10" s="58">
        <v>3</v>
      </c>
      <c r="B10" s="59" t="s">
        <v>106</v>
      </c>
      <c r="C10" s="58" t="s">
        <v>14</v>
      </c>
      <c r="D10" s="60">
        <v>725074</v>
      </c>
      <c r="E10" s="44">
        <v>515000</v>
      </c>
      <c r="F10" s="61">
        <v>321001.27711999998</v>
      </c>
      <c r="G10" s="38">
        <v>379999.99999999994</v>
      </c>
      <c r="H10" s="38">
        <v>379999.99999999994</v>
      </c>
      <c r="I10" s="38">
        <f t="shared" si="0"/>
        <v>1</v>
      </c>
      <c r="J10" s="38">
        <v>0</v>
      </c>
    </row>
    <row r="11" spans="1:10" x14ac:dyDescent="0.2">
      <c r="A11" s="58">
        <v>4</v>
      </c>
      <c r="B11" s="59" t="s">
        <v>17</v>
      </c>
      <c r="C11" s="58" t="s">
        <v>14</v>
      </c>
      <c r="D11" s="60">
        <v>599777</v>
      </c>
      <c r="E11" s="44">
        <v>580000</v>
      </c>
      <c r="F11" s="61">
        <v>668410.94854999997</v>
      </c>
      <c r="G11" s="38">
        <v>880000</v>
      </c>
      <c r="H11" s="38">
        <v>880000</v>
      </c>
      <c r="I11" s="38">
        <f t="shared" si="0"/>
        <v>1</v>
      </c>
      <c r="J11" s="38">
        <v>0</v>
      </c>
    </row>
    <row r="12" spans="1:10" x14ac:dyDescent="0.2">
      <c r="A12" s="58">
        <v>5</v>
      </c>
      <c r="B12" s="59" t="s">
        <v>18</v>
      </c>
      <c r="C12" s="58" t="s">
        <v>14</v>
      </c>
      <c r="D12" s="60">
        <v>136363.63636363635</v>
      </c>
      <c r="E12" s="44">
        <v>400000</v>
      </c>
      <c r="F12" s="61">
        <v>319909.09091999999</v>
      </c>
      <c r="G12" s="38">
        <v>150000</v>
      </c>
      <c r="H12" s="38">
        <v>150000</v>
      </c>
      <c r="I12" s="38">
        <f t="shared" si="0"/>
        <v>1</v>
      </c>
      <c r="J12" s="38">
        <v>0</v>
      </c>
    </row>
    <row r="13" spans="1:10" ht="28.5" x14ac:dyDescent="0.2">
      <c r="A13" s="58">
        <v>6</v>
      </c>
      <c r="B13" s="59" t="s">
        <v>107</v>
      </c>
      <c r="C13" s="58" t="s">
        <v>14</v>
      </c>
      <c r="D13" s="60">
        <v>91636.363636363632</v>
      </c>
      <c r="E13" s="44">
        <v>100780</v>
      </c>
      <c r="F13" s="61">
        <v>183336.85743</v>
      </c>
      <c r="G13" s="38">
        <v>268891.80625000002</v>
      </c>
      <c r="H13" s="38">
        <v>268891.80625000002</v>
      </c>
      <c r="I13" s="38">
        <f t="shared" si="0"/>
        <v>1</v>
      </c>
      <c r="J13" s="38">
        <v>0</v>
      </c>
    </row>
    <row r="14" spans="1:10" ht="28.5" x14ac:dyDescent="0.2">
      <c r="A14" s="58">
        <v>7</v>
      </c>
      <c r="B14" s="59" t="s">
        <v>108</v>
      </c>
      <c r="C14" s="58" t="s">
        <v>14</v>
      </c>
      <c r="D14" s="60">
        <v>517810</v>
      </c>
      <c r="E14" s="44">
        <v>640000</v>
      </c>
      <c r="F14" s="61">
        <v>1870008.95995</v>
      </c>
      <c r="G14" s="38">
        <v>1135825.6799999997</v>
      </c>
      <c r="H14" s="38">
        <v>1135825.6799999997</v>
      </c>
      <c r="I14" s="38">
        <f t="shared" si="0"/>
        <v>1</v>
      </c>
      <c r="J14" s="38">
        <v>0</v>
      </c>
    </row>
    <row r="15" spans="1:10" x14ac:dyDescent="0.2">
      <c r="A15" s="58">
        <v>8</v>
      </c>
      <c r="B15" s="59" t="s">
        <v>21</v>
      </c>
      <c r="C15" s="58" t="s">
        <v>14</v>
      </c>
      <c r="D15" s="60"/>
      <c r="E15" s="44"/>
      <c r="F15" s="62">
        <v>0</v>
      </c>
      <c r="G15" s="63"/>
      <c r="H15" s="38">
        <v>0</v>
      </c>
      <c r="I15" s="38"/>
      <c r="J15" s="38">
        <v>0</v>
      </c>
    </row>
    <row r="16" spans="1:10" x14ac:dyDescent="0.2">
      <c r="A16" s="58">
        <v>9</v>
      </c>
      <c r="B16" s="59" t="s">
        <v>22</v>
      </c>
      <c r="C16" s="58" t="s">
        <v>14</v>
      </c>
      <c r="D16" s="60">
        <v>182758.18181818179</v>
      </c>
      <c r="E16" s="44">
        <v>485000</v>
      </c>
      <c r="F16" s="62"/>
      <c r="G16" s="38">
        <v>320000</v>
      </c>
      <c r="H16" s="38">
        <v>9433636.3636363633</v>
      </c>
      <c r="I16" s="38">
        <f t="shared" si="0"/>
        <v>29.480113636363637</v>
      </c>
      <c r="J16" s="38">
        <v>9113636.3636363633</v>
      </c>
    </row>
    <row r="17" spans="1:12" x14ac:dyDescent="0.2">
      <c r="A17" s="58">
        <v>10</v>
      </c>
      <c r="B17" s="59" t="s">
        <v>109</v>
      </c>
      <c r="C17" s="58" t="s">
        <v>14</v>
      </c>
      <c r="D17" s="60">
        <v>110852</v>
      </c>
      <c r="E17" s="44">
        <v>130881.38</v>
      </c>
      <c r="F17" s="64">
        <v>220141.05963999999</v>
      </c>
      <c r="G17" s="38">
        <v>34000</v>
      </c>
      <c r="H17" s="38">
        <v>34000</v>
      </c>
      <c r="I17" s="38">
        <f t="shared" si="0"/>
        <v>1</v>
      </c>
      <c r="J17" s="38">
        <v>0</v>
      </c>
    </row>
    <row r="18" spans="1:12" ht="15" customHeight="1" x14ac:dyDescent="0.2">
      <c r="A18" s="114" t="s">
        <v>110</v>
      </c>
      <c r="B18" s="114"/>
      <c r="C18" s="21"/>
      <c r="D18" s="65">
        <f>SUM(D8:D17)</f>
        <v>7577656.1818181816</v>
      </c>
      <c r="E18" s="65">
        <f t="shared" ref="E18:G18" si="1">SUM(E8:E17)</f>
        <v>9071684.3800000008</v>
      </c>
      <c r="F18" s="65">
        <f t="shared" si="1"/>
        <v>9063085.0128499996</v>
      </c>
      <c r="G18" s="65">
        <f t="shared" si="1"/>
        <v>10437908.586250002</v>
      </c>
      <c r="H18" s="65">
        <f>SUM(H8:H17)</f>
        <v>17923892.949886363</v>
      </c>
      <c r="I18" s="38">
        <f>+H18/G18</f>
        <v>1.7171919836027065</v>
      </c>
      <c r="J18" s="65">
        <f>SUM(J8:J17)</f>
        <v>7485984.3636363633</v>
      </c>
    </row>
    <row r="19" spans="1:12" x14ac:dyDescent="0.2">
      <c r="A19" s="66">
        <v>1</v>
      </c>
      <c r="B19" s="67" t="s">
        <v>111</v>
      </c>
      <c r="C19" s="66" t="s">
        <v>14</v>
      </c>
      <c r="D19" s="61">
        <v>2978958</v>
      </c>
      <c r="E19" s="60">
        <v>3516313.2637240002</v>
      </c>
      <c r="F19" s="68">
        <v>3950928.6462300001</v>
      </c>
      <c r="G19" s="60">
        <v>5023184.0717024002</v>
      </c>
      <c r="H19" s="60">
        <v>8104235.3487272728</v>
      </c>
      <c r="I19" s="60">
        <f>H19/G19</f>
        <v>1.6133661902580205</v>
      </c>
      <c r="J19" s="60">
        <v>3081051.2770248726</v>
      </c>
    </row>
    <row r="20" spans="1:12" x14ac:dyDescent="0.2">
      <c r="A20" s="66">
        <v>2</v>
      </c>
      <c r="B20" s="69" t="s">
        <v>112</v>
      </c>
      <c r="C20" s="66" t="s">
        <v>14</v>
      </c>
      <c r="D20" s="61">
        <v>371666</v>
      </c>
      <c r="E20" s="60">
        <v>439539.15796550002</v>
      </c>
      <c r="F20" s="68">
        <v>499508.52666999999</v>
      </c>
      <c r="G20" s="60">
        <v>627898.00896280003</v>
      </c>
      <c r="H20" s="60">
        <v>1013029.4185909091</v>
      </c>
      <c r="I20" s="60">
        <f t="shared" ref="I20:I50" si="2">H20/G20</f>
        <v>1.6133661902580205</v>
      </c>
      <c r="J20" s="60">
        <v>385131.40962810908</v>
      </c>
      <c r="L20" s="53"/>
    </row>
    <row r="21" spans="1:12" x14ac:dyDescent="0.2">
      <c r="A21" s="66">
        <v>3</v>
      </c>
      <c r="B21" s="70" t="s">
        <v>113</v>
      </c>
      <c r="C21" s="66" t="s">
        <v>14</v>
      </c>
      <c r="D21" s="60">
        <v>24752.799999999999</v>
      </c>
      <c r="E21" s="60">
        <v>34405.519999999997</v>
      </c>
      <c r="F21" s="68">
        <v>42916.488840000005</v>
      </c>
      <c r="G21" s="60">
        <v>66472.22</v>
      </c>
      <c r="H21" s="60">
        <v>92172.22</v>
      </c>
      <c r="I21" s="60">
        <f t="shared" si="2"/>
        <v>1.3866276769453465</v>
      </c>
      <c r="J21" s="29">
        <v>25700</v>
      </c>
    </row>
    <row r="22" spans="1:12" x14ac:dyDescent="0.2">
      <c r="A22" s="66">
        <v>4</v>
      </c>
      <c r="B22" s="70" t="s">
        <v>114</v>
      </c>
      <c r="C22" s="66" t="s">
        <v>14</v>
      </c>
      <c r="D22" s="60">
        <v>15633</v>
      </c>
      <c r="E22" s="29">
        <v>15168.5</v>
      </c>
      <c r="F22" s="68">
        <v>11832.056769999999</v>
      </c>
      <c r="G22" s="60">
        <v>42164.75</v>
      </c>
      <c r="H22" s="60">
        <v>42164.75</v>
      </c>
      <c r="I22" s="60">
        <f t="shared" si="2"/>
        <v>1</v>
      </c>
      <c r="J22" s="60">
        <v>0</v>
      </c>
      <c r="L22" s="54"/>
    </row>
    <row r="23" spans="1:12" x14ac:dyDescent="0.2">
      <c r="A23" s="66">
        <v>5</v>
      </c>
      <c r="B23" s="70" t="s">
        <v>115</v>
      </c>
      <c r="C23" s="66" t="s">
        <v>14</v>
      </c>
      <c r="D23" s="60">
        <v>23004.5</v>
      </c>
      <c r="E23" s="29">
        <v>24247.634999999998</v>
      </c>
      <c r="F23" s="68">
        <v>17996.467700000001</v>
      </c>
      <c r="G23" s="60">
        <v>69714</v>
      </c>
      <c r="H23" s="60">
        <v>69714</v>
      </c>
      <c r="I23" s="60">
        <f t="shared" si="2"/>
        <v>1</v>
      </c>
      <c r="J23" s="71">
        <v>0</v>
      </c>
    </row>
    <row r="24" spans="1:12" x14ac:dyDescent="0.2">
      <c r="A24" s="66">
        <v>6</v>
      </c>
      <c r="B24" s="70" t="s">
        <v>116</v>
      </c>
      <c r="C24" s="66" t="s">
        <v>14</v>
      </c>
      <c r="D24" s="60">
        <v>6737.3999999999978</v>
      </c>
      <c r="E24" s="29">
        <v>14364</v>
      </c>
      <c r="F24" s="68">
        <v>13643.00764</v>
      </c>
      <c r="G24" s="60">
        <v>14364</v>
      </c>
      <c r="H24" s="60">
        <v>14364</v>
      </c>
      <c r="I24" s="60">
        <f t="shared" si="2"/>
        <v>1</v>
      </c>
      <c r="J24" s="60">
        <v>0</v>
      </c>
    </row>
    <row r="25" spans="1:12" x14ac:dyDescent="0.2">
      <c r="A25" s="66">
        <v>7</v>
      </c>
      <c r="B25" s="70" t="s">
        <v>117</v>
      </c>
      <c r="C25" s="66" t="s">
        <v>14</v>
      </c>
      <c r="D25" s="60">
        <v>420159</v>
      </c>
      <c r="E25" s="29">
        <v>409279.66</v>
      </c>
      <c r="F25" s="68">
        <v>346073.16262000002</v>
      </c>
      <c r="G25" s="60">
        <v>396786.45</v>
      </c>
      <c r="H25" s="60">
        <v>926718.75</v>
      </c>
      <c r="I25" s="60">
        <f t="shared" si="2"/>
        <v>2.3355604759184696</v>
      </c>
      <c r="J25" s="60">
        <v>529932.30000000005</v>
      </c>
    </row>
    <row r="26" spans="1:12" x14ac:dyDescent="0.2">
      <c r="A26" s="66">
        <v>8</v>
      </c>
      <c r="B26" s="70" t="s">
        <v>118</v>
      </c>
      <c r="C26" s="66" t="s">
        <v>14</v>
      </c>
      <c r="D26" s="60">
        <v>24684.1</v>
      </c>
      <c r="E26" s="29">
        <v>21840</v>
      </c>
      <c r="F26" s="68">
        <v>16949.866180000001</v>
      </c>
      <c r="G26" s="60">
        <v>22353.599999999999</v>
      </c>
      <c r="H26" s="60">
        <v>22353.599999999999</v>
      </c>
      <c r="I26" s="60">
        <f t="shared" si="2"/>
        <v>1</v>
      </c>
      <c r="J26" s="60">
        <v>0</v>
      </c>
    </row>
    <row r="27" spans="1:12" x14ac:dyDescent="0.2">
      <c r="A27" s="66">
        <v>9</v>
      </c>
      <c r="B27" s="70" t="s">
        <v>119</v>
      </c>
      <c r="C27" s="66" t="s">
        <v>14</v>
      </c>
      <c r="D27" s="60">
        <v>426229.5</v>
      </c>
      <c r="E27" s="29">
        <v>393396</v>
      </c>
      <c r="F27" s="68">
        <v>310177.58291</v>
      </c>
      <c r="G27" s="29">
        <v>502150</v>
      </c>
      <c r="H27" s="29">
        <v>583750</v>
      </c>
      <c r="I27" s="60">
        <f t="shared" si="2"/>
        <v>1.1625012446480136</v>
      </c>
      <c r="J27" s="29">
        <v>81600</v>
      </c>
    </row>
    <row r="28" spans="1:12" x14ac:dyDescent="0.2">
      <c r="A28" s="66">
        <v>10</v>
      </c>
      <c r="B28" s="70" t="s">
        <v>120</v>
      </c>
      <c r="C28" s="66" t="s">
        <v>14</v>
      </c>
      <c r="D28" s="68">
        <v>0</v>
      </c>
      <c r="E28" s="29">
        <v>25000</v>
      </c>
      <c r="F28" s="68">
        <v>0</v>
      </c>
      <c r="G28" s="29">
        <v>69000</v>
      </c>
      <c r="H28" s="29">
        <v>69000</v>
      </c>
      <c r="I28" s="60">
        <f t="shared" si="2"/>
        <v>1</v>
      </c>
      <c r="J28" s="29">
        <v>0</v>
      </c>
    </row>
    <row r="29" spans="1:12" x14ac:dyDescent="0.2">
      <c r="A29" s="66">
        <v>11</v>
      </c>
      <c r="B29" s="70" t="s">
        <v>121</v>
      </c>
      <c r="C29" s="66" t="s">
        <v>14</v>
      </c>
      <c r="D29" s="60">
        <v>13610</v>
      </c>
      <c r="E29" s="29">
        <v>15000</v>
      </c>
      <c r="F29" s="68">
        <v>14938.581270000001</v>
      </c>
      <c r="G29" s="29">
        <v>29400</v>
      </c>
      <c r="H29" s="29">
        <v>49400</v>
      </c>
      <c r="I29" s="60">
        <f t="shared" si="2"/>
        <v>1.6802721088435375</v>
      </c>
      <c r="J29" s="29">
        <v>20000</v>
      </c>
    </row>
    <row r="30" spans="1:12" x14ac:dyDescent="0.2">
      <c r="A30" s="66">
        <v>12</v>
      </c>
      <c r="B30" s="70" t="s">
        <v>122</v>
      </c>
      <c r="C30" s="66" t="s">
        <v>14</v>
      </c>
      <c r="D30" s="60">
        <v>73792.899999999994</v>
      </c>
      <c r="E30" s="29">
        <v>79189.5</v>
      </c>
      <c r="F30" s="68">
        <v>32522.91086</v>
      </c>
      <c r="G30" s="29">
        <v>82188</v>
      </c>
      <c r="H30" s="29">
        <v>197488</v>
      </c>
      <c r="I30" s="60">
        <f t="shared" si="2"/>
        <v>2.40288119920183</v>
      </c>
      <c r="J30" s="29">
        <v>115300</v>
      </c>
    </row>
    <row r="31" spans="1:12" x14ac:dyDescent="0.2">
      <c r="A31" s="66">
        <v>13</v>
      </c>
      <c r="B31" s="70" t="s">
        <v>123</v>
      </c>
      <c r="C31" s="66" t="s">
        <v>14</v>
      </c>
      <c r="D31" s="60">
        <v>34527.5</v>
      </c>
      <c r="E31" s="29">
        <v>24096.400000000001</v>
      </c>
      <c r="F31" s="68">
        <v>68398.348049999986</v>
      </c>
      <c r="G31" s="29">
        <v>35032</v>
      </c>
      <c r="H31" s="29">
        <v>68032</v>
      </c>
      <c r="I31" s="60">
        <f t="shared" si="2"/>
        <v>1.9419958894724823</v>
      </c>
      <c r="J31" s="29">
        <v>33000</v>
      </c>
    </row>
    <row r="32" spans="1:12" x14ac:dyDescent="0.2">
      <c r="A32" s="66">
        <v>14</v>
      </c>
      <c r="B32" s="70" t="s">
        <v>124</v>
      </c>
      <c r="C32" s="66" t="s">
        <v>14</v>
      </c>
      <c r="D32" s="60">
        <v>26373.1</v>
      </c>
      <c r="E32" s="29">
        <v>31316.400000000001</v>
      </c>
      <c r="F32" s="68">
        <v>59601.265549999996</v>
      </c>
      <c r="G32" s="29">
        <v>24896.400000000001</v>
      </c>
      <c r="H32" s="29">
        <v>67396.399999999994</v>
      </c>
      <c r="I32" s="60">
        <f t="shared" si="2"/>
        <v>2.707074115133111</v>
      </c>
      <c r="J32" s="29">
        <v>42499.999999999993</v>
      </c>
    </row>
    <row r="33" spans="1:10" x14ac:dyDescent="0.2">
      <c r="A33" s="66">
        <v>15</v>
      </c>
      <c r="B33" s="70" t="s">
        <v>125</v>
      </c>
      <c r="C33" s="66" t="s">
        <v>14</v>
      </c>
      <c r="D33" s="60">
        <v>76659.600000000006</v>
      </c>
      <c r="E33" s="29">
        <v>128172.56</v>
      </c>
      <c r="F33" s="68">
        <v>253337.63547000001</v>
      </c>
      <c r="G33" s="29">
        <v>198363.56</v>
      </c>
      <c r="H33" s="29">
        <v>198363.56</v>
      </c>
      <c r="I33" s="60">
        <f t="shared" si="2"/>
        <v>1</v>
      </c>
      <c r="J33" s="29">
        <v>0</v>
      </c>
    </row>
    <row r="34" spans="1:10" x14ac:dyDescent="0.2">
      <c r="A34" s="66">
        <v>16</v>
      </c>
      <c r="B34" s="70" t="s">
        <v>126</v>
      </c>
      <c r="C34" s="66" t="s">
        <v>14</v>
      </c>
      <c r="D34" s="60">
        <v>28977.7</v>
      </c>
      <c r="E34" s="29">
        <v>39844</v>
      </c>
      <c r="F34" s="68">
        <v>29053.194339999998</v>
      </c>
      <c r="G34" s="29">
        <v>39844</v>
      </c>
      <c r="H34" s="29">
        <v>39844</v>
      </c>
      <c r="I34" s="60">
        <f t="shared" si="2"/>
        <v>1</v>
      </c>
      <c r="J34" s="29">
        <v>0</v>
      </c>
    </row>
    <row r="35" spans="1:10" x14ac:dyDescent="0.2">
      <c r="A35" s="66">
        <v>17</v>
      </c>
      <c r="B35" s="70" t="s">
        <v>127</v>
      </c>
      <c r="C35" s="66" t="s">
        <v>14</v>
      </c>
      <c r="D35" s="60">
        <v>1904275.4</v>
      </c>
      <c r="E35" s="29">
        <v>2595024.77</v>
      </c>
      <c r="F35" s="68">
        <v>2058580.1336500002</v>
      </c>
      <c r="G35" s="29">
        <v>1858440</v>
      </c>
      <c r="H35" s="29">
        <v>1858440</v>
      </c>
      <c r="I35" s="60">
        <f t="shared" si="2"/>
        <v>1</v>
      </c>
      <c r="J35" s="29">
        <v>0</v>
      </c>
    </row>
    <row r="36" spans="1:10" x14ac:dyDescent="0.2">
      <c r="A36" s="66">
        <v>18</v>
      </c>
      <c r="B36" s="70" t="s">
        <v>128</v>
      </c>
      <c r="C36" s="66" t="s">
        <v>14</v>
      </c>
      <c r="D36" s="60">
        <v>21004</v>
      </c>
      <c r="E36" s="29">
        <v>48130</v>
      </c>
      <c r="F36" s="68">
        <v>54376.866370000003</v>
      </c>
      <c r="G36" s="29">
        <v>85000</v>
      </c>
      <c r="H36" s="29">
        <v>85000</v>
      </c>
      <c r="I36" s="60">
        <f t="shared" si="2"/>
        <v>1</v>
      </c>
      <c r="J36" s="29">
        <v>0</v>
      </c>
    </row>
    <row r="37" spans="1:10" x14ac:dyDescent="0.2">
      <c r="A37" s="66">
        <v>19</v>
      </c>
      <c r="B37" s="70" t="s">
        <v>129</v>
      </c>
      <c r="C37" s="66" t="s">
        <v>14</v>
      </c>
      <c r="D37" s="60">
        <v>4495</v>
      </c>
      <c r="E37" s="29">
        <v>8000</v>
      </c>
      <c r="F37" s="68">
        <v>67935</v>
      </c>
      <c r="G37" s="29">
        <v>12000</v>
      </c>
      <c r="H37" s="29">
        <v>12000</v>
      </c>
      <c r="I37" s="60">
        <f t="shared" si="2"/>
        <v>1</v>
      </c>
      <c r="J37" s="29">
        <v>0</v>
      </c>
    </row>
    <row r="38" spans="1:10" x14ac:dyDescent="0.2">
      <c r="A38" s="66">
        <v>20</v>
      </c>
      <c r="B38" s="70" t="s">
        <v>130</v>
      </c>
      <c r="C38" s="66" t="s">
        <v>14</v>
      </c>
      <c r="D38" s="60">
        <v>30000</v>
      </c>
      <c r="E38" s="29">
        <v>45280</v>
      </c>
      <c r="F38" s="68">
        <v>25938.272730000001</v>
      </c>
      <c r="G38" s="60">
        <v>46480</v>
      </c>
      <c r="H38" s="60">
        <v>78820</v>
      </c>
      <c r="I38" s="60">
        <f t="shared" si="2"/>
        <v>1.6957831325301205</v>
      </c>
      <c r="J38" s="60">
        <v>32340</v>
      </c>
    </row>
    <row r="39" spans="1:10" ht="28.5" x14ac:dyDescent="0.2">
      <c r="A39" s="66">
        <v>21</v>
      </c>
      <c r="B39" s="70" t="s">
        <v>131</v>
      </c>
      <c r="C39" s="66" t="s">
        <v>14</v>
      </c>
      <c r="D39" s="60">
        <v>30558</v>
      </c>
      <c r="E39" s="29">
        <v>43728.75</v>
      </c>
      <c r="F39" s="68">
        <v>0</v>
      </c>
      <c r="G39" s="29">
        <v>47546.900999999998</v>
      </c>
      <c r="H39" s="60">
        <v>47546.900999999998</v>
      </c>
      <c r="I39" s="60">
        <f t="shared" si="2"/>
        <v>1</v>
      </c>
      <c r="J39" s="60">
        <v>0</v>
      </c>
    </row>
    <row r="40" spans="1:10" x14ac:dyDescent="0.2">
      <c r="A40" s="66">
        <v>22</v>
      </c>
      <c r="B40" s="70" t="s">
        <v>132</v>
      </c>
      <c r="C40" s="66" t="s">
        <v>14</v>
      </c>
      <c r="D40" s="60">
        <v>35068</v>
      </c>
      <c r="E40" s="29">
        <v>39558.524216894999</v>
      </c>
      <c r="F40" s="68">
        <v>39147.81</v>
      </c>
      <c r="G40" s="29">
        <v>50232</v>
      </c>
      <c r="H40" s="60">
        <v>50232</v>
      </c>
      <c r="I40" s="60">
        <f t="shared" si="2"/>
        <v>1</v>
      </c>
      <c r="J40" s="60">
        <v>0</v>
      </c>
    </row>
    <row r="41" spans="1:10" x14ac:dyDescent="0.2">
      <c r="A41" s="66">
        <v>23</v>
      </c>
      <c r="B41" s="70" t="s">
        <v>133</v>
      </c>
      <c r="C41" s="66" t="s">
        <v>14</v>
      </c>
      <c r="D41" s="60">
        <v>7901</v>
      </c>
      <c r="E41" s="29">
        <v>7042.6880000000001</v>
      </c>
      <c r="F41" s="68">
        <v>5270.8789999999999</v>
      </c>
      <c r="G41" s="60">
        <v>7042.6880000000001</v>
      </c>
      <c r="H41" s="60">
        <v>7042.6880000000001</v>
      </c>
      <c r="I41" s="60">
        <f t="shared" si="2"/>
        <v>1</v>
      </c>
      <c r="J41" s="60">
        <v>0</v>
      </c>
    </row>
    <row r="42" spans="1:10" ht="28.5" x14ac:dyDescent="0.2">
      <c r="A42" s="66">
        <v>24</v>
      </c>
      <c r="B42" s="70" t="s">
        <v>134</v>
      </c>
      <c r="C42" s="66" t="s">
        <v>14</v>
      </c>
      <c r="D42" s="60">
        <v>35227</v>
      </c>
      <c r="E42" s="29">
        <v>53612.004000000001</v>
      </c>
      <c r="F42" s="68">
        <v>36172.194000000003</v>
      </c>
      <c r="G42" s="29">
        <v>61512.004000000001</v>
      </c>
      <c r="H42" s="60">
        <v>61512.004000000001</v>
      </c>
      <c r="I42" s="60">
        <f t="shared" si="2"/>
        <v>1</v>
      </c>
      <c r="J42" s="60">
        <v>0</v>
      </c>
    </row>
    <row r="43" spans="1:10" ht="28.5" x14ac:dyDescent="0.2">
      <c r="A43" s="66">
        <v>25</v>
      </c>
      <c r="B43" s="70" t="s">
        <v>135</v>
      </c>
      <c r="C43" s="66" t="s">
        <v>14</v>
      </c>
      <c r="D43" s="60">
        <v>230000</v>
      </c>
      <c r="E43" s="29">
        <v>262499.40000000002</v>
      </c>
      <c r="F43" s="68">
        <v>238382.46427</v>
      </c>
      <c r="G43" s="60">
        <v>218639.4</v>
      </c>
      <c r="H43" s="60">
        <v>218639.4</v>
      </c>
      <c r="I43" s="60">
        <f t="shared" si="2"/>
        <v>1</v>
      </c>
      <c r="J43" s="60">
        <v>0</v>
      </c>
    </row>
    <row r="44" spans="1:10" x14ac:dyDescent="0.2">
      <c r="A44" s="66">
        <v>26</v>
      </c>
      <c r="B44" s="70" t="s">
        <v>136</v>
      </c>
      <c r="C44" s="66" t="s">
        <v>14</v>
      </c>
      <c r="D44" s="60">
        <v>15000</v>
      </c>
      <c r="E44" s="29">
        <v>15000</v>
      </c>
      <c r="F44" s="68">
        <v>17659.093000000001</v>
      </c>
      <c r="G44" s="60">
        <v>15000</v>
      </c>
      <c r="H44" s="60">
        <v>15000</v>
      </c>
      <c r="I44" s="60">
        <f t="shared" si="2"/>
        <v>1</v>
      </c>
      <c r="J44" s="60">
        <v>0</v>
      </c>
    </row>
    <row r="45" spans="1:10" x14ac:dyDescent="0.2">
      <c r="A45" s="66">
        <v>27</v>
      </c>
      <c r="B45" s="70" t="s">
        <v>137</v>
      </c>
      <c r="C45" s="66" t="s">
        <v>14</v>
      </c>
      <c r="D45" s="60">
        <v>622951.19999999995</v>
      </c>
      <c r="E45" s="29">
        <v>710000</v>
      </c>
      <c r="F45" s="68">
        <v>640201.13521000021</v>
      </c>
      <c r="G45" s="60">
        <v>710000</v>
      </c>
      <c r="H45" s="60">
        <v>710000</v>
      </c>
      <c r="I45" s="60">
        <f t="shared" si="2"/>
        <v>1</v>
      </c>
      <c r="J45" s="60">
        <v>0</v>
      </c>
    </row>
    <row r="46" spans="1:10" x14ac:dyDescent="0.2">
      <c r="A46" s="66">
        <v>28</v>
      </c>
      <c r="B46" s="70" t="s">
        <v>138</v>
      </c>
      <c r="C46" s="66" t="s">
        <v>14</v>
      </c>
      <c r="D46" s="60">
        <v>0</v>
      </c>
      <c r="E46" s="60">
        <v>0</v>
      </c>
      <c r="F46" s="60">
        <v>0</v>
      </c>
      <c r="G46" s="60">
        <v>0</v>
      </c>
      <c r="H46" s="60">
        <v>2805300</v>
      </c>
      <c r="I46" s="60"/>
      <c r="J46" s="60">
        <v>2805300</v>
      </c>
    </row>
    <row r="47" spans="1:10" ht="15" x14ac:dyDescent="0.2">
      <c r="A47" s="115" t="s">
        <v>139</v>
      </c>
      <c r="B47" s="115"/>
      <c r="C47" s="21"/>
      <c r="D47" s="65">
        <f>SUM(D19:D46)</f>
        <v>7482244.7000000002</v>
      </c>
      <c r="E47" s="65">
        <f t="shared" ref="E47:G47" si="3">SUM(E19:E46)</f>
        <v>9039048.7329063937</v>
      </c>
      <c r="F47" s="65">
        <f t="shared" si="3"/>
        <v>8851541.5893300008</v>
      </c>
      <c r="G47" s="65">
        <f t="shared" si="3"/>
        <v>10355704.0536652</v>
      </c>
      <c r="H47" s="65">
        <f>SUM(H19:H46)</f>
        <v>17507559.040318184</v>
      </c>
      <c r="I47" s="60">
        <f t="shared" si="2"/>
        <v>1.6906198699374499</v>
      </c>
      <c r="J47" s="65">
        <f>SUM(J19:J46)</f>
        <v>7151854.9866529815</v>
      </c>
    </row>
    <row r="48" spans="1:10" x14ac:dyDescent="0.2">
      <c r="A48" s="117" t="s">
        <v>140</v>
      </c>
      <c r="B48" s="117"/>
      <c r="C48" s="66" t="s">
        <v>14</v>
      </c>
      <c r="D48" s="29">
        <f>+D18-D47</f>
        <v>95411.481818181463</v>
      </c>
      <c r="E48" s="29">
        <f t="shared" ref="E48:J48" si="4">+E18-E47</f>
        <v>32635.647093607113</v>
      </c>
      <c r="F48" s="29">
        <f t="shared" si="4"/>
        <v>211543.42351999879</v>
      </c>
      <c r="G48" s="29">
        <f t="shared" si="4"/>
        <v>82204.532584801316</v>
      </c>
      <c r="H48" s="29">
        <f>+H18-H47</f>
        <v>416333.9095681794</v>
      </c>
      <c r="I48" s="60">
        <f t="shared" si="2"/>
        <v>5.0646101434698112</v>
      </c>
      <c r="J48" s="29">
        <f t="shared" si="4"/>
        <v>334129.37698338181</v>
      </c>
    </row>
    <row r="49" spans="1:10" x14ac:dyDescent="0.2">
      <c r="A49" s="117" t="s">
        <v>141</v>
      </c>
      <c r="B49" s="117"/>
      <c r="C49" s="66" t="s">
        <v>14</v>
      </c>
      <c r="D49" s="29">
        <v>85870.333636363313</v>
      </c>
      <c r="E49" s="72">
        <v>29372</v>
      </c>
      <c r="F49" s="29">
        <v>190389.08116799893</v>
      </c>
      <c r="G49" s="33">
        <v>73984.079326321182</v>
      </c>
      <c r="H49" s="33">
        <v>374700.51861136145</v>
      </c>
      <c r="I49" s="60">
        <f t="shared" si="2"/>
        <v>5.0646101434698121</v>
      </c>
      <c r="J49" s="29"/>
    </row>
    <row r="50" spans="1:10" x14ac:dyDescent="0.2">
      <c r="A50" s="116" t="s">
        <v>45</v>
      </c>
      <c r="B50" s="116"/>
      <c r="C50" s="66" t="s">
        <v>14</v>
      </c>
      <c r="D50" s="73">
        <v>982097</v>
      </c>
      <c r="E50" s="74">
        <v>1633127</v>
      </c>
      <c r="F50" s="29">
        <v>39490</v>
      </c>
      <c r="G50" s="33">
        <v>1541443.7999999998</v>
      </c>
      <c r="H50" s="33">
        <f>+'Хөрөнгө оруулалт'!H45</f>
        <v>2576654.2000000002</v>
      </c>
      <c r="I50" s="60">
        <f t="shared" si="2"/>
        <v>1.6715849127940963</v>
      </c>
      <c r="J50" s="29">
        <f>+H50-G50</f>
        <v>1035210.4000000004</v>
      </c>
    </row>
    <row r="51" spans="1:10" x14ac:dyDescent="0.2">
      <c r="A51" s="116" t="s">
        <v>142</v>
      </c>
      <c r="B51" s="116"/>
      <c r="C51" s="75"/>
      <c r="D51" s="76">
        <f t="shared" ref="D51:G51" si="5">+D47/D18</f>
        <v>0.98740883994616813</v>
      </c>
      <c r="E51" s="76">
        <f t="shared" si="5"/>
        <v>0.99640247105977831</v>
      </c>
      <c r="F51" s="76">
        <f t="shared" si="5"/>
        <v>0.97665878415351237</v>
      </c>
      <c r="G51" s="76">
        <f t="shared" si="5"/>
        <v>0.99212442493574904</v>
      </c>
      <c r="H51" s="76">
        <f>+H47/H18</f>
        <v>0.97677212697418958</v>
      </c>
      <c r="I51" s="76">
        <f>+I47/I18</f>
        <v>0.98452583408320615</v>
      </c>
      <c r="J51" s="77"/>
    </row>
    <row r="52" spans="1:10" x14ac:dyDescent="0.2">
      <c r="H52" s="55"/>
    </row>
    <row r="53" spans="1:10" x14ac:dyDescent="0.2">
      <c r="H53" s="55"/>
    </row>
    <row r="54" spans="1:10" x14ac:dyDescent="0.2">
      <c r="H54" s="56"/>
    </row>
    <row r="55" spans="1:10" x14ac:dyDescent="0.2">
      <c r="H55" s="56"/>
    </row>
    <row r="58" spans="1:10" x14ac:dyDescent="0.2">
      <c r="A58" s="112" t="s">
        <v>145</v>
      </c>
      <c r="B58" s="112"/>
      <c r="C58" s="112"/>
      <c r="D58" s="112"/>
      <c r="E58" s="112"/>
      <c r="F58" s="112"/>
      <c r="G58" s="112"/>
      <c r="H58" s="112"/>
      <c r="I58" s="112"/>
      <c r="J58" s="112"/>
    </row>
  </sheetData>
  <mergeCells count="18">
    <mergeCell ref="A2:J3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A58:J58"/>
    <mergeCell ref="I5:J5"/>
    <mergeCell ref="A18:B18"/>
    <mergeCell ref="A47:B47"/>
    <mergeCell ref="A50:B50"/>
    <mergeCell ref="A51:B51"/>
    <mergeCell ref="A48:B48"/>
    <mergeCell ref="A49:B49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DF35-7F50-436B-AC47-7B112F02214E}">
  <sheetPr>
    <tabColor rgb="FF92D050"/>
  </sheetPr>
  <dimension ref="A1:K51"/>
  <sheetViews>
    <sheetView workbookViewId="0">
      <selection activeCell="L6" sqref="L6"/>
    </sheetView>
  </sheetViews>
  <sheetFormatPr defaultRowHeight="14.25" x14ac:dyDescent="0.2"/>
  <cols>
    <col min="1" max="1" width="4.7109375" style="19" bestFit="1" customWidth="1"/>
    <col min="2" max="2" width="30.7109375" style="19" customWidth="1"/>
    <col min="3" max="3" width="12.5703125" style="19" customWidth="1"/>
    <col min="4" max="4" width="9" style="20" customWidth="1"/>
    <col min="5" max="5" width="11.5703125" style="19" bestFit="1" customWidth="1"/>
    <col min="6" max="6" width="13.42578125" style="19" bestFit="1" customWidth="1"/>
    <col min="7" max="7" width="9.28515625" style="19" customWidth="1"/>
    <col min="8" max="9" width="13.42578125" style="19" bestFit="1" customWidth="1"/>
    <col min="10" max="10" width="9.140625" style="19"/>
    <col min="11" max="11" width="10.42578125" style="19" bestFit="1" customWidth="1"/>
    <col min="12" max="16384" width="9.140625" style="19"/>
  </cols>
  <sheetData>
    <row r="1" spans="1:10" s="8" customFormat="1" ht="36.75" customHeight="1" x14ac:dyDescent="0.25">
      <c r="A1" s="1"/>
      <c r="B1" s="2"/>
      <c r="C1" s="3"/>
      <c r="D1" s="3"/>
      <c r="E1" s="98" t="s">
        <v>146</v>
      </c>
      <c r="F1" s="98"/>
      <c r="G1" s="98"/>
      <c r="H1" s="98"/>
      <c r="I1" s="98"/>
      <c r="J1" s="81"/>
    </row>
    <row r="2" spans="1:10" ht="15" customHeight="1" x14ac:dyDescent="0.2">
      <c r="A2" s="78"/>
      <c r="B2" s="78"/>
      <c r="C2" s="78"/>
      <c r="D2" s="79"/>
      <c r="E2" s="131"/>
      <c r="F2" s="131"/>
      <c r="G2" s="131"/>
      <c r="H2" s="131"/>
      <c r="I2" s="131"/>
    </row>
    <row r="3" spans="1:10" ht="36" customHeight="1" x14ac:dyDescent="0.2">
      <c r="A3" s="130" t="s">
        <v>96</v>
      </c>
      <c r="B3" s="130"/>
      <c r="C3" s="130"/>
      <c r="D3" s="130"/>
      <c r="E3" s="130"/>
      <c r="F3" s="130"/>
      <c r="G3" s="130"/>
      <c r="H3" s="130"/>
      <c r="I3" s="130"/>
    </row>
    <row r="4" spans="1:10" ht="15" x14ac:dyDescent="0.2">
      <c r="A4" s="7"/>
      <c r="B4" s="7"/>
      <c r="C4" s="7"/>
      <c r="D4" s="7"/>
      <c r="E4" s="7"/>
      <c r="F4" s="7"/>
      <c r="G4" s="7"/>
      <c r="H4" s="113" t="s">
        <v>0</v>
      </c>
      <c r="I4" s="113"/>
    </row>
    <row r="5" spans="1:10" ht="15" x14ac:dyDescent="0.2">
      <c r="A5" s="125" t="s">
        <v>1</v>
      </c>
      <c r="B5" s="114" t="s">
        <v>53</v>
      </c>
      <c r="C5" s="114" t="s">
        <v>54</v>
      </c>
      <c r="D5" s="114" t="s">
        <v>55</v>
      </c>
      <c r="E5" s="114" t="s">
        <v>56</v>
      </c>
      <c r="F5" s="128" t="s">
        <v>57</v>
      </c>
      <c r="G5" s="119" t="s">
        <v>58</v>
      </c>
      <c r="H5" s="119"/>
      <c r="I5" s="132" t="s">
        <v>59</v>
      </c>
    </row>
    <row r="6" spans="1:10" ht="30" x14ac:dyDescent="0.2">
      <c r="A6" s="125"/>
      <c r="B6" s="114"/>
      <c r="C6" s="114"/>
      <c r="D6" s="114"/>
      <c r="E6" s="114"/>
      <c r="F6" s="128"/>
      <c r="G6" s="23" t="s">
        <v>60</v>
      </c>
      <c r="H6" s="24" t="s">
        <v>61</v>
      </c>
      <c r="I6" s="132"/>
    </row>
    <row r="7" spans="1:10" ht="15" x14ac:dyDescent="0.2">
      <c r="A7" s="125" t="s">
        <v>62</v>
      </c>
      <c r="B7" s="125"/>
      <c r="C7" s="125"/>
      <c r="D7" s="125"/>
      <c r="E7" s="125"/>
      <c r="F7" s="125"/>
      <c r="G7" s="125"/>
      <c r="H7" s="125"/>
      <c r="I7" s="125"/>
    </row>
    <row r="8" spans="1:10" x14ac:dyDescent="0.2">
      <c r="A8" s="122">
        <v>1</v>
      </c>
      <c r="B8" s="126" t="s">
        <v>63</v>
      </c>
      <c r="C8" s="127" t="s">
        <v>64</v>
      </c>
      <c r="D8" s="28">
        <v>2</v>
      </c>
      <c r="E8" s="29">
        <f>5600000/1000</f>
        <v>5600</v>
      </c>
      <c r="F8" s="29">
        <f>+D8*E8</f>
        <v>11200</v>
      </c>
      <c r="G8" s="28">
        <v>2</v>
      </c>
      <c r="H8" s="29">
        <f>+F8</f>
        <v>11200</v>
      </c>
      <c r="I8" s="30">
        <f>+H8-F8</f>
        <v>0</v>
      </c>
    </row>
    <row r="9" spans="1:10" x14ac:dyDescent="0.2">
      <c r="A9" s="122"/>
      <c r="B9" s="126"/>
      <c r="C9" s="127"/>
      <c r="D9" s="28">
        <v>9</v>
      </c>
      <c r="E9" s="29">
        <f>4000000/1000</f>
        <v>4000</v>
      </c>
      <c r="F9" s="29">
        <f>+D9*E9</f>
        <v>36000</v>
      </c>
      <c r="G9" s="28">
        <v>9</v>
      </c>
      <c r="H9" s="29">
        <f t="shared" ref="H9:H16" si="0">+F9</f>
        <v>36000</v>
      </c>
      <c r="I9" s="30">
        <f t="shared" ref="I9:I22" si="1">+H9-F9</f>
        <v>0</v>
      </c>
    </row>
    <row r="10" spans="1:10" x14ac:dyDescent="0.2">
      <c r="A10" s="122">
        <v>2</v>
      </c>
      <c r="B10" s="26" t="s">
        <v>65</v>
      </c>
      <c r="C10" s="27" t="s">
        <v>64</v>
      </c>
      <c r="D10" s="25">
        <v>5</v>
      </c>
      <c r="E10" s="29">
        <f>3750000/1000</f>
        <v>3750</v>
      </c>
      <c r="F10" s="29">
        <f>19819900/1000</f>
        <v>19819.900000000001</v>
      </c>
      <c r="G10" s="25">
        <v>5</v>
      </c>
      <c r="H10" s="29">
        <f t="shared" si="0"/>
        <v>19819.900000000001</v>
      </c>
      <c r="I10" s="30">
        <f t="shared" si="1"/>
        <v>0</v>
      </c>
    </row>
    <row r="11" spans="1:10" x14ac:dyDescent="0.2">
      <c r="A11" s="122"/>
      <c r="B11" s="31" t="s">
        <v>66</v>
      </c>
      <c r="C11" s="27" t="s">
        <v>64</v>
      </c>
      <c r="D11" s="32">
        <v>2</v>
      </c>
      <c r="E11" s="33">
        <f>5000000/1000</f>
        <v>5000</v>
      </c>
      <c r="F11" s="34">
        <f>16800000/1000</f>
        <v>16800</v>
      </c>
      <c r="G11" s="32">
        <v>2</v>
      </c>
      <c r="H11" s="29">
        <f t="shared" si="0"/>
        <v>16800</v>
      </c>
      <c r="I11" s="30">
        <f t="shared" si="1"/>
        <v>0</v>
      </c>
    </row>
    <row r="12" spans="1:10" ht="42.75" x14ac:dyDescent="0.2">
      <c r="A12" s="35">
        <v>3</v>
      </c>
      <c r="B12" s="36" t="s">
        <v>67</v>
      </c>
      <c r="C12" s="27" t="s">
        <v>64</v>
      </c>
      <c r="D12" s="32">
        <v>3</v>
      </c>
      <c r="E12" s="33">
        <f>2100000/1000</f>
        <v>2100</v>
      </c>
      <c r="F12" s="34">
        <f>+E12*D12</f>
        <v>6300</v>
      </c>
      <c r="G12" s="32">
        <v>3</v>
      </c>
      <c r="H12" s="29">
        <f t="shared" si="0"/>
        <v>6300</v>
      </c>
      <c r="I12" s="30">
        <f t="shared" si="1"/>
        <v>0</v>
      </c>
    </row>
    <row r="13" spans="1:10" x14ac:dyDescent="0.2">
      <c r="A13" s="122">
        <v>4</v>
      </c>
      <c r="B13" s="26" t="s">
        <v>68</v>
      </c>
      <c r="C13" s="27" t="s">
        <v>64</v>
      </c>
      <c r="D13" s="37">
        <v>1</v>
      </c>
      <c r="E13" s="38">
        <f>400000/1000</f>
        <v>400</v>
      </c>
      <c r="F13" s="34">
        <f t="shared" ref="F13:F15" si="2">+E13*D13</f>
        <v>400</v>
      </c>
      <c r="G13" s="37">
        <v>1</v>
      </c>
      <c r="H13" s="29">
        <f t="shared" si="0"/>
        <v>400</v>
      </c>
      <c r="I13" s="30">
        <f>+H13-F13</f>
        <v>0</v>
      </c>
    </row>
    <row r="14" spans="1:10" x14ac:dyDescent="0.2">
      <c r="A14" s="122"/>
      <c r="B14" s="31" t="s">
        <v>69</v>
      </c>
      <c r="C14" s="27" t="s">
        <v>64</v>
      </c>
      <c r="D14" s="32">
        <v>1</v>
      </c>
      <c r="E14" s="33">
        <f>1700000/1000</f>
        <v>1700</v>
      </c>
      <c r="F14" s="34">
        <f t="shared" si="2"/>
        <v>1700</v>
      </c>
      <c r="G14" s="32">
        <v>1</v>
      </c>
      <c r="H14" s="29">
        <f t="shared" si="0"/>
        <v>1700</v>
      </c>
      <c r="I14" s="30">
        <f>+H14-F14</f>
        <v>0</v>
      </c>
    </row>
    <row r="15" spans="1:10" ht="28.5" x14ac:dyDescent="0.2">
      <c r="A15" s="122">
        <v>5</v>
      </c>
      <c r="B15" s="31" t="s">
        <v>70</v>
      </c>
      <c r="C15" s="27" t="s">
        <v>64</v>
      </c>
      <c r="D15" s="37">
        <v>1</v>
      </c>
      <c r="E15" s="38">
        <f>5000000/1000</f>
        <v>5000</v>
      </c>
      <c r="F15" s="34">
        <f t="shared" si="2"/>
        <v>5000</v>
      </c>
      <c r="G15" s="37">
        <v>1</v>
      </c>
      <c r="H15" s="29">
        <f t="shared" si="0"/>
        <v>5000</v>
      </c>
      <c r="I15" s="30">
        <f>+H15-F15</f>
        <v>0</v>
      </c>
    </row>
    <row r="16" spans="1:10" ht="28.5" x14ac:dyDescent="0.2">
      <c r="A16" s="122"/>
      <c r="B16" s="31" t="s">
        <v>71</v>
      </c>
      <c r="C16" s="27" t="s">
        <v>72</v>
      </c>
      <c r="D16" s="32">
        <v>1</v>
      </c>
      <c r="E16" s="38">
        <f>40000000/1000</f>
        <v>40000</v>
      </c>
      <c r="F16" s="34">
        <f>+E16*D16</f>
        <v>40000</v>
      </c>
      <c r="G16" s="32">
        <v>1</v>
      </c>
      <c r="H16" s="29">
        <f t="shared" si="0"/>
        <v>40000</v>
      </c>
      <c r="I16" s="30">
        <f>+H16-F16</f>
        <v>0</v>
      </c>
    </row>
    <row r="17" spans="1:11" x14ac:dyDescent="0.2">
      <c r="A17" s="35">
        <v>6</v>
      </c>
      <c r="B17" s="39" t="s">
        <v>73</v>
      </c>
      <c r="C17" s="27" t="s">
        <v>64</v>
      </c>
      <c r="D17" s="40"/>
      <c r="E17" s="41"/>
      <c r="F17" s="34"/>
      <c r="G17" s="40">
        <v>15</v>
      </c>
      <c r="H17" s="34">
        <f>15*3800</f>
        <v>57000</v>
      </c>
      <c r="I17" s="30">
        <f t="shared" si="1"/>
        <v>57000</v>
      </c>
      <c r="K17" s="83"/>
    </row>
    <row r="18" spans="1:11" x14ac:dyDescent="0.2">
      <c r="A18" s="35">
        <v>7</v>
      </c>
      <c r="B18" s="39" t="s">
        <v>73</v>
      </c>
      <c r="C18" s="27" t="s">
        <v>64</v>
      </c>
      <c r="D18" s="40"/>
      <c r="E18" s="41"/>
      <c r="F18" s="34"/>
      <c r="G18" s="40">
        <v>15</v>
      </c>
      <c r="H18" s="34">
        <f>3500*15</f>
        <v>52500</v>
      </c>
      <c r="I18" s="30">
        <f t="shared" si="1"/>
        <v>52500</v>
      </c>
      <c r="K18" s="83"/>
    </row>
    <row r="19" spans="1:11" x14ac:dyDescent="0.2">
      <c r="A19" s="35">
        <v>8</v>
      </c>
      <c r="B19" s="39" t="s">
        <v>74</v>
      </c>
      <c r="C19" s="27" t="s">
        <v>64</v>
      </c>
      <c r="D19" s="40"/>
      <c r="E19" s="41"/>
      <c r="F19" s="34"/>
      <c r="G19" s="40">
        <v>8</v>
      </c>
      <c r="H19" s="34">
        <f>28000000/1000</f>
        <v>28000</v>
      </c>
      <c r="I19" s="30">
        <f t="shared" si="1"/>
        <v>28000</v>
      </c>
      <c r="K19" s="83"/>
    </row>
    <row r="20" spans="1:11" x14ac:dyDescent="0.2">
      <c r="A20" s="35">
        <v>9</v>
      </c>
      <c r="B20" s="39" t="s">
        <v>75</v>
      </c>
      <c r="C20" s="27" t="s">
        <v>64</v>
      </c>
      <c r="D20" s="40"/>
      <c r="E20" s="41"/>
      <c r="F20" s="34"/>
      <c r="G20" s="40">
        <v>10</v>
      </c>
      <c r="H20" s="34">
        <v>10000</v>
      </c>
      <c r="I20" s="30">
        <f t="shared" si="1"/>
        <v>10000</v>
      </c>
      <c r="K20" s="83"/>
    </row>
    <row r="21" spans="1:11" x14ac:dyDescent="0.2">
      <c r="A21" s="35">
        <v>10</v>
      </c>
      <c r="B21" s="39" t="s">
        <v>76</v>
      </c>
      <c r="C21" s="27" t="s">
        <v>64</v>
      </c>
      <c r="D21" s="40"/>
      <c r="E21" s="41"/>
      <c r="F21" s="34"/>
      <c r="G21" s="40">
        <v>4</v>
      </c>
      <c r="H21" s="34">
        <f>12000000/1000</f>
        <v>12000</v>
      </c>
      <c r="I21" s="30">
        <f t="shared" si="1"/>
        <v>12000</v>
      </c>
      <c r="K21" s="83"/>
    </row>
    <row r="22" spans="1:11" x14ac:dyDescent="0.2">
      <c r="A22" s="35">
        <v>11</v>
      </c>
      <c r="B22" s="39" t="s">
        <v>77</v>
      </c>
      <c r="C22" s="27" t="s">
        <v>64</v>
      </c>
      <c r="D22" s="40"/>
      <c r="E22" s="41"/>
      <c r="F22" s="34"/>
      <c r="G22" s="40">
        <v>4</v>
      </c>
      <c r="H22" s="34">
        <f>60000000/1000</f>
        <v>60000</v>
      </c>
      <c r="I22" s="30">
        <f t="shared" si="1"/>
        <v>60000</v>
      </c>
      <c r="K22" s="83"/>
    </row>
    <row r="23" spans="1:11" ht="15" x14ac:dyDescent="0.2">
      <c r="A23" s="128" t="s">
        <v>78</v>
      </c>
      <c r="B23" s="128"/>
      <c r="C23" s="128"/>
      <c r="D23" s="128"/>
      <c r="E23" s="128"/>
      <c r="F23" s="22">
        <f>SUM(F8:F22)</f>
        <v>137219.9</v>
      </c>
      <c r="G23" s="22">
        <f>SUM(G8:G22)</f>
        <v>81</v>
      </c>
      <c r="H23" s="22">
        <f>SUM(H8:H22)</f>
        <v>356719.9</v>
      </c>
      <c r="I23" s="22">
        <f>SUM(I8:I22)</f>
        <v>219500</v>
      </c>
    </row>
    <row r="24" spans="1:11" ht="15" x14ac:dyDescent="0.2">
      <c r="A24" s="129" t="s">
        <v>79</v>
      </c>
      <c r="B24" s="129"/>
      <c r="C24" s="129"/>
      <c r="D24" s="129"/>
      <c r="E24" s="129"/>
      <c r="F24" s="129"/>
      <c r="G24" s="129"/>
      <c r="H24" s="129"/>
      <c r="I24" s="129"/>
    </row>
    <row r="25" spans="1:11" x14ac:dyDescent="0.2">
      <c r="A25" s="25">
        <v>1</v>
      </c>
      <c r="B25" s="26" t="s">
        <v>80</v>
      </c>
      <c r="C25" s="29" t="s">
        <v>64</v>
      </c>
      <c r="D25" s="25">
        <v>1</v>
      </c>
      <c r="E25" s="42">
        <v>1750</v>
      </c>
      <c r="F25" s="42">
        <v>1750</v>
      </c>
      <c r="G25" s="25">
        <v>1</v>
      </c>
      <c r="H25" s="42">
        <v>1750</v>
      </c>
      <c r="I25" s="43">
        <v>0</v>
      </c>
      <c r="K25" s="82"/>
    </row>
    <row r="26" spans="1:11" x14ac:dyDescent="0.2">
      <c r="A26" s="25">
        <v>2</v>
      </c>
      <c r="B26" s="26" t="s">
        <v>81</v>
      </c>
      <c r="C26" s="29" t="s">
        <v>64</v>
      </c>
      <c r="D26" s="25">
        <v>1</v>
      </c>
      <c r="E26" s="42">
        <v>82</v>
      </c>
      <c r="F26" s="42">
        <v>82</v>
      </c>
      <c r="G26" s="25">
        <v>1</v>
      </c>
      <c r="H26" s="42">
        <v>82</v>
      </c>
      <c r="I26" s="43">
        <v>0</v>
      </c>
    </row>
    <row r="27" spans="1:11" x14ac:dyDescent="0.2">
      <c r="A27" s="25">
        <v>3</v>
      </c>
      <c r="B27" s="26" t="s">
        <v>82</v>
      </c>
      <c r="C27" s="29" t="s">
        <v>64</v>
      </c>
      <c r="D27" s="25">
        <v>1</v>
      </c>
      <c r="E27" s="42">
        <v>65</v>
      </c>
      <c r="F27" s="42">
        <v>65</v>
      </c>
      <c r="G27" s="25">
        <v>1</v>
      </c>
      <c r="H27" s="42">
        <v>65</v>
      </c>
      <c r="I27" s="43">
        <v>0</v>
      </c>
    </row>
    <row r="28" spans="1:11" x14ac:dyDescent="0.2">
      <c r="A28" s="25">
        <v>4</v>
      </c>
      <c r="B28" s="26" t="s">
        <v>83</v>
      </c>
      <c r="C28" s="29" t="s">
        <v>64</v>
      </c>
      <c r="D28" s="25">
        <v>1</v>
      </c>
      <c r="E28" s="42">
        <v>12000</v>
      </c>
      <c r="F28" s="42">
        <v>12000</v>
      </c>
      <c r="G28" s="25">
        <v>1</v>
      </c>
      <c r="H28" s="42">
        <v>12000</v>
      </c>
      <c r="I28" s="43">
        <v>0</v>
      </c>
      <c r="K28" s="82"/>
    </row>
    <row r="29" spans="1:11" x14ac:dyDescent="0.2">
      <c r="A29" s="25">
        <v>5</v>
      </c>
      <c r="B29" s="26" t="s">
        <v>84</v>
      </c>
      <c r="C29" s="29" t="s">
        <v>64</v>
      </c>
      <c r="D29" s="25">
        <v>1</v>
      </c>
      <c r="E29" s="42">
        <v>17000</v>
      </c>
      <c r="F29" s="42">
        <v>17000</v>
      </c>
      <c r="G29" s="25">
        <v>1</v>
      </c>
      <c r="H29" s="42">
        <v>17000</v>
      </c>
      <c r="I29" s="43">
        <v>0</v>
      </c>
    </row>
    <row r="30" spans="1:11" ht="28.5" x14ac:dyDescent="0.2">
      <c r="A30" s="25">
        <v>6</v>
      </c>
      <c r="B30" s="26" t="s">
        <v>85</v>
      </c>
      <c r="C30" s="29" t="s">
        <v>64</v>
      </c>
      <c r="D30" s="28">
        <v>1</v>
      </c>
      <c r="E30" s="42">
        <v>10000</v>
      </c>
      <c r="F30" s="42">
        <v>10000</v>
      </c>
      <c r="G30" s="28">
        <v>1</v>
      </c>
      <c r="H30" s="42">
        <v>10000</v>
      </c>
      <c r="I30" s="43">
        <v>0</v>
      </c>
      <c r="K30" s="82"/>
    </row>
    <row r="31" spans="1:11" x14ac:dyDescent="0.2">
      <c r="A31" s="25">
        <v>7</v>
      </c>
      <c r="B31" s="26" t="s">
        <v>86</v>
      </c>
      <c r="C31" s="29" t="s">
        <v>64</v>
      </c>
      <c r="D31" s="28">
        <v>1</v>
      </c>
      <c r="E31" s="42">
        <v>200</v>
      </c>
      <c r="F31" s="42">
        <v>200</v>
      </c>
      <c r="G31" s="28">
        <v>1</v>
      </c>
      <c r="H31" s="42">
        <v>200</v>
      </c>
      <c r="I31" s="43">
        <v>0</v>
      </c>
      <c r="K31" s="54"/>
    </row>
    <row r="32" spans="1:11" ht="28.5" x14ac:dyDescent="0.2">
      <c r="A32" s="25">
        <v>8</v>
      </c>
      <c r="B32" s="26" t="s">
        <v>87</v>
      </c>
      <c r="C32" s="29" t="s">
        <v>64</v>
      </c>
      <c r="D32" s="28">
        <v>1</v>
      </c>
      <c r="E32" s="42">
        <v>50000</v>
      </c>
      <c r="F32" s="42">
        <v>50000</v>
      </c>
      <c r="G32" s="28">
        <v>1</v>
      </c>
      <c r="H32" s="42">
        <v>50000</v>
      </c>
      <c r="I32" s="43">
        <v>0</v>
      </c>
      <c r="K32" s="82"/>
    </row>
    <row r="33" spans="1:11" x14ac:dyDescent="0.2">
      <c r="A33" s="25">
        <v>9</v>
      </c>
      <c r="B33" s="26" t="s">
        <v>88</v>
      </c>
      <c r="C33" s="29"/>
      <c r="D33" s="44"/>
      <c r="E33" s="42"/>
      <c r="F33" s="42"/>
      <c r="G33" s="25">
        <v>100</v>
      </c>
      <c r="H33" s="43">
        <v>210710.39999999999</v>
      </c>
      <c r="I33" s="43">
        <v>210710.39999999999</v>
      </c>
      <c r="K33" s="54"/>
    </row>
    <row r="34" spans="1:11" ht="15" x14ac:dyDescent="0.2">
      <c r="A34" s="25">
        <v>10</v>
      </c>
      <c r="B34" s="97" t="s">
        <v>143</v>
      </c>
      <c r="C34" s="29" t="s">
        <v>64</v>
      </c>
      <c r="D34" s="22"/>
      <c r="E34" s="22"/>
      <c r="F34" s="22"/>
      <c r="G34" s="45">
        <v>4</v>
      </c>
      <c r="H34" s="43">
        <v>12000</v>
      </c>
      <c r="I34" s="43">
        <v>12000</v>
      </c>
      <c r="K34" s="82"/>
    </row>
    <row r="35" spans="1:11" ht="15" x14ac:dyDescent="0.2">
      <c r="A35" s="128" t="s">
        <v>78</v>
      </c>
      <c r="B35" s="128"/>
      <c r="C35" s="128"/>
      <c r="D35" s="128"/>
      <c r="E35" s="128"/>
      <c r="F35" s="47">
        <f>SUM(F25:F34)</f>
        <v>91097</v>
      </c>
      <c r="G35" s="48">
        <f>SUM(G25:G34)</f>
        <v>112</v>
      </c>
      <c r="H35" s="47">
        <f>SUM(H25:H34)</f>
        <v>313807.40000000002</v>
      </c>
      <c r="I35" s="47">
        <f>SUM(I25:I34)</f>
        <v>222710.39999999999</v>
      </c>
    </row>
    <row r="36" spans="1:11" ht="15" x14ac:dyDescent="0.2">
      <c r="A36" s="128" t="s">
        <v>91</v>
      </c>
      <c r="B36" s="128"/>
      <c r="C36" s="128"/>
      <c r="D36" s="128"/>
      <c r="E36" s="128"/>
      <c r="F36" s="128"/>
      <c r="G36" s="128"/>
      <c r="H36" s="128"/>
      <c r="I36" s="128"/>
      <c r="K36" s="82"/>
    </row>
    <row r="37" spans="1:11" ht="28.5" x14ac:dyDescent="0.2">
      <c r="A37" s="25">
        <v>1</v>
      </c>
      <c r="B37" s="26" t="s">
        <v>92</v>
      </c>
      <c r="C37" s="44" t="s">
        <v>72</v>
      </c>
      <c r="D37" s="25">
        <v>1</v>
      </c>
      <c r="E37" s="29">
        <v>283000</v>
      </c>
      <c r="F37" s="29">
        <v>283000</v>
      </c>
      <c r="G37" s="25">
        <v>1</v>
      </c>
      <c r="H37" s="29">
        <v>283000</v>
      </c>
      <c r="I37" s="43">
        <v>0</v>
      </c>
      <c r="K37" s="54"/>
    </row>
    <row r="38" spans="1:11" ht="28.5" x14ac:dyDescent="0.2">
      <c r="A38" s="25">
        <v>2</v>
      </c>
      <c r="B38" s="26" t="s">
        <v>93</v>
      </c>
      <c r="C38" s="44" t="s">
        <v>72</v>
      </c>
      <c r="D38" s="25">
        <v>1</v>
      </c>
      <c r="E38" s="29">
        <v>535126.9</v>
      </c>
      <c r="F38" s="29">
        <v>535126.9</v>
      </c>
      <c r="G38" s="25">
        <v>1</v>
      </c>
      <c r="H38" s="29">
        <v>535126.9</v>
      </c>
      <c r="I38" s="30">
        <v>0</v>
      </c>
      <c r="K38" s="82"/>
    </row>
    <row r="39" spans="1:11" ht="42.75" x14ac:dyDescent="0.2">
      <c r="A39" s="25">
        <v>3</v>
      </c>
      <c r="B39" s="26" t="s">
        <v>94</v>
      </c>
      <c r="C39" s="44" t="s">
        <v>72</v>
      </c>
      <c r="D39" s="25">
        <v>1</v>
      </c>
      <c r="E39" s="29">
        <v>495000</v>
      </c>
      <c r="F39" s="29">
        <v>495000</v>
      </c>
      <c r="G39" s="25">
        <v>1</v>
      </c>
      <c r="H39" s="29">
        <v>495000</v>
      </c>
      <c r="I39" s="30">
        <v>0</v>
      </c>
      <c r="K39" s="54"/>
    </row>
    <row r="40" spans="1:11" ht="57" x14ac:dyDescent="0.2">
      <c r="A40" s="25">
        <v>4</v>
      </c>
      <c r="B40" s="46" t="s">
        <v>144</v>
      </c>
      <c r="C40" s="44" t="s">
        <v>72</v>
      </c>
      <c r="D40" s="25"/>
      <c r="E40" s="29"/>
      <c r="F40" s="29"/>
      <c r="G40" s="52">
        <v>1</v>
      </c>
      <c r="H40" s="49">
        <v>180000</v>
      </c>
      <c r="I40" s="50">
        <v>180000</v>
      </c>
      <c r="K40" s="82"/>
    </row>
    <row r="41" spans="1:11" ht="15" x14ac:dyDescent="0.2">
      <c r="A41" s="25">
        <v>5</v>
      </c>
      <c r="B41" s="39" t="s">
        <v>89</v>
      </c>
      <c r="C41" s="29" t="s">
        <v>64</v>
      </c>
      <c r="D41" s="22"/>
      <c r="E41" s="22"/>
      <c r="F41" s="22"/>
      <c r="G41" s="25">
        <v>15</v>
      </c>
      <c r="H41" s="43">
        <v>315000</v>
      </c>
      <c r="I41" s="43">
        <v>315000</v>
      </c>
      <c r="K41" s="54"/>
    </row>
    <row r="42" spans="1:11" ht="15" x14ac:dyDescent="0.2">
      <c r="A42" s="25">
        <v>6</v>
      </c>
      <c r="B42" s="39" t="s">
        <v>90</v>
      </c>
      <c r="C42" s="29" t="s">
        <v>64</v>
      </c>
      <c r="D42" s="22"/>
      <c r="E42" s="22"/>
      <c r="F42" s="22"/>
      <c r="G42" s="25">
        <v>4</v>
      </c>
      <c r="H42" s="43">
        <v>84000</v>
      </c>
      <c r="I42" s="43">
        <v>84000</v>
      </c>
      <c r="K42" s="82"/>
    </row>
    <row r="43" spans="1:11" ht="15" x14ac:dyDescent="0.2">
      <c r="A43" s="25">
        <v>7</v>
      </c>
      <c r="B43" s="39" t="s">
        <v>147</v>
      </c>
      <c r="C43" s="29" t="s">
        <v>64</v>
      </c>
      <c r="D43" s="22"/>
      <c r="E43" s="22"/>
      <c r="F43" s="22"/>
      <c r="G43" s="25">
        <v>1</v>
      </c>
      <c r="H43" s="43">
        <v>14000</v>
      </c>
      <c r="I43" s="43">
        <f>+G43*H43</f>
        <v>14000</v>
      </c>
    </row>
    <row r="44" spans="1:11" ht="15" x14ac:dyDescent="0.2">
      <c r="A44" s="123" t="s">
        <v>78</v>
      </c>
      <c r="B44" s="123"/>
      <c r="C44" s="123"/>
      <c r="D44" s="123"/>
      <c r="E44" s="123"/>
      <c r="F44" s="22">
        <f t="shared" ref="F44:G44" si="3">+F37+F38+F39+F40+F41+F42+F43</f>
        <v>1313126.8999999999</v>
      </c>
      <c r="G44" s="22">
        <f t="shared" si="3"/>
        <v>24</v>
      </c>
      <c r="H44" s="22">
        <f>+H37+H38+H39+H40+H41+H42+H43</f>
        <v>1906126.9</v>
      </c>
      <c r="I44" s="22">
        <f>+I37+I38+I39+I40+I41+I42+I43</f>
        <v>593000</v>
      </c>
      <c r="K44" s="82"/>
    </row>
    <row r="45" spans="1:11" ht="15" x14ac:dyDescent="0.2">
      <c r="A45" s="124" t="s">
        <v>95</v>
      </c>
      <c r="B45" s="124"/>
      <c r="C45" s="124"/>
      <c r="D45" s="124"/>
      <c r="E45" s="124"/>
      <c r="F45" s="51">
        <f>+F23+F35+F44</f>
        <v>1541443.7999999998</v>
      </c>
      <c r="G45" s="51">
        <f t="shared" ref="G45:H45" si="4">+G23+G35+G44</f>
        <v>217</v>
      </c>
      <c r="H45" s="51">
        <f t="shared" si="4"/>
        <v>2576654.2000000002</v>
      </c>
      <c r="I45" s="51">
        <f>+I23+I35+I44</f>
        <v>1035210.4</v>
      </c>
    </row>
    <row r="47" spans="1:11" x14ac:dyDescent="0.2">
      <c r="I47" s="54"/>
    </row>
    <row r="48" spans="1:11" x14ac:dyDescent="0.2">
      <c r="H48" s="55"/>
    </row>
    <row r="51" spans="1:9" x14ac:dyDescent="0.2">
      <c r="A51" s="112" t="s">
        <v>145</v>
      </c>
      <c r="B51" s="112"/>
      <c r="C51" s="112"/>
      <c r="D51" s="112"/>
      <c r="E51" s="112"/>
      <c r="F51" s="112"/>
      <c r="G51" s="112"/>
      <c r="H51" s="112"/>
      <c r="I51" s="112"/>
    </row>
  </sheetData>
  <mergeCells count="26">
    <mergeCell ref="A3:I3"/>
    <mergeCell ref="E2:I2"/>
    <mergeCell ref="F5:F6"/>
    <mergeCell ref="G5:H5"/>
    <mergeCell ref="I5:I6"/>
    <mergeCell ref="A5:A6"/>
    <mergeCell ref="B5:B6"/>
    <mergeCell ref="C5:C6"/>
    <mergeCell ref="D5:D6"/>
    <mergeCell ref="E5:E6"/>
    <mergeCell ref="E1:I1"/>
    <mergeCell ref="A51:I51"/>
    <mergeCell ref="H4:I4"/>
    <mergeCell ref="A10:A11"/>
    <mergeCell ref="A44:E44"/>
    <mergeCell ref="A45:E45"/>
    <mergeCell ref="A7:I7"/>
    <mergeCell ref="A8:A9"/>
    <mergeCell ref="B8:B9"/>
    <mergeCell ref="C8:C9"/>
    <mergeCell ref="A36:I36"/>
    <mergeCell ref="A13:A14"/>
    <mergeCell ref="A15:A16"/>
    <mergeCell ref="A23:E23"/>
    <mergeCell ref="A24:I24"/>
    <mergeCell ref="A35:E35"/>
  </mergeCells>
  <pageMargins left="0.78" right="0.23" top="0.63" bottom="0.59055118110236204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B733-19D2-4697-A24E-2C139C7CDE6F}">
  <dimension ref="A1:I9"/>
  <sheetViews>
    <sheetView workbookViewId="0">
      <selection activeCell="D11" sqref="D11"/>
    </sheetView>
  </sheetViews>
  <sheetFormatPr defaultRowHeight="12.75" x14ac:dyDescent="0.2"/>
  <cols>
    <col min="1" max="1" width="3.42578125" style="86" bestFit="1" customWidth="1"/>
    <col min="2" max="2" width="24" style="86" customWidth="1"/>
    <col min="3" max="3" width="12.42578125" style="86" bestFit="1" customWidth="1"/>
    <col min="4" max="4" width="30.28515625" style="86" customWidth="1"/>
    <col min="5" max="5" width="10.28515625" style="86" bestFit="1" customWidth="1"/>
    <col min="6" max="6" width="12.28515625" style="86" bestFit="1" customWidth="1"/>
    <col min="7" max="7" width="12.5703125" style="86" hidden="1" customWidth="1"/>
    <col min="8" max="8" width="9.140625" style="86"/>
    <col min="9" max="9" width="14.28515625" style="86" bestFit="1" customWidth="1"/>
    <col min="10" max="16384" width="9.140625" style="86"/>
  </cols>
  <sheetData>
    <row r="1" spans="1:9" x14ac:dyDescent="0.2">
      <c r="A1" s="84" t="s">
        <v>1</v>
      </c>
      <c r="B1" s="84" t="s">
        <v>148</v>
      </c>
      <c r="C1" s="84" t="s">
        <v>60</v>
      </c>
      <c r="D1" s="84" t="s">
        <v>149</v>
      </c>
      <c r="E1" s="85" t="s">
        <v>157</v>
      </c>
      <c r="F1" s="85" t="s">
        <v>61</v>
      </c>
    </row>
    <row r="2" spans="1:9" ht="38.25" x14ac:dyDescent="0.2">
      <c r="A2" s="84">
        <v>1</v>
      </c>
      <c r="B2" s="87" t="s">
        <v>73</v>
      </c>
      <c r="C2" s="84">
        <v>6</v>
      </c>
      <c r="D2" s="87" t="s">
        <v>150</v>
      </c>
      <c r="E2" s="94">
        <v>7300000</v>
      </c>
      <c r="F2" s="94">
        <f t="shared" ref="F2:F8" si="0">+E2*C2</f>
        <v>43800000</v>
      </c>
      <c r="G2" s="88">
        <v>3800</v>
      </c>
      <c r="I2" s="89"/>
    </row>
    <row r="3" spans="1:9" ht="38.25" x14ac:dyDescent="0.2">
      <c r="A3" s="84">
        <v>2</v>
      </c>
      <c r="B3" s="87" t="s">
        <v>73</v>
      </c>
      <c r="C3" s="90">
        <v>8</v>
      </c>
      <c r="D3" s="87" t="s">
        <v>150</v>
      </c>
      <c r="E3" s="94">
        <v>6100000</v>
      </c>
      <c r="F3" s="94">
        <f t="shared" si="0"/>
        <v>48800000</v>
      </c>
      <c r="I3" s="89"/>
    </row>
    <row r="4" spans="1:9" ht="38.25" x14ac:dyDescent="0.2">
      <c r="A4" s="84"/>
      <c r="B4" s="87" t="s">
        <v>73</v>
      </c>
      <c r="C4" s="84">
        <v>8</v>
      </c>
      <c r="D4" s="87" t="s">
        <v>151</v>
      </c>
      <c r="E4" s="94">
        <v>4100000</v>
      </c>
      <c r="F4" s="94">
        <f t="shared" si="0"/>
        <v>32800000</v>
      </c>
      <c r="G4" s="88">
        <v>3500</v>
      </c>
      <c r="I4" s="89"/>
    </row>
    <row r="5" spans="1:9" ht="51" x14ac:dyDescent="0.2">
      <c r="A5" s="84">
        <v>3</v>
      </c>
      <c r="B5" s="87" t="s">
        <v>74</v>
      </c>
      <c r="C5" s="84">
        <v>8</v>
      </c>
      <c r="D5" s="87" t="s">
        <v>152</v>
      </c>
      <c r="E5" s="94">
        <v>5150000</v>
      </c>
      <c r="F5" s="94">
        <f t="shared" si="0"/>
        <v>41200000</v>
      </c>
      <c r="G5" s="88">
        <v>3500</v>
      </c>
      <c r="I5" s="89"/>
    </row>
    <row r="6" spans="1:9" ht="25.5" x14ac:dyDescent="0.2">
      <c r="A6" s="84">
        <v>4</v>
      </c>
      <c r="B6" s="87" t="s">
        <v>75</v>
      </c>
      <c r="C6" s="84">
        <v>8</v>
      </c>
      <c r="D6" s="87" t="s">
        <v>153</v>
      </c>
      <c r="E6" s="94">
        <v>795000</v>
      </c>
      <c r="F6" s="94">
        <f t="shared" si="0"/>
        <v>6360000</v>
      </c>
      <c r="G6" s="88">
        <v>1000</v>
      </c>
      <c r="I6" s="89"/>
    </row>
    <row r="7" spans="1:9" ht="63.75" x14ac:dyDescent="0.2">
      <c r="A7" s="84">
        <v>5</v>
      </c>
      <c r="B7" s="87" t="s">
        <v>154</v>
      </c>
      <c r="C7" s="84">
        <v>4</v>
      </c>
      <c r="D7" s="91" t="s">
        <v>155</v>
      </c>
      <c r="E7" s="94">
        <v>1590000</v>
      </c>
      <c r="F7" s="94">
        <f t="shared" si="0"/>
        <v>6360000</v>
      </c>
      <c r="G7" s="88">
        <v>3000</v>
      </c>
      <c r="I7" s="89"/>
    </row>
    <row r="8" spans="1:9" ht="63.75" x14ac:dyDescent="0.2">
      <c r="A8" s="92">
        <v>6</v>
      </c>
      <c r="B8" s="92" t="s">
        <v>156</v>
      </c>
      <c r="C8" s="92">
        <v>2</v>
      </c>
      <c r="D8" s="93" t="s">
        <v>155</v>
      </c>
      <c r="E8" s="94">
        <v>4150000</v>
      </c>
      <c r="F8" s="94">
        <f t="shared" si="0"/>
        <v>8300000</v>
      </c>
      <c r="G8" s="88">
        <v>15000</v>
      </c>
      <c r="I8" s="89"/>
    </row>
    <row r="9" spans="1:9" x14ac:dyDescent="0.2">
      <c r="A9" s="85"/>
      <c r="B9" s="85"/>
      <c r="C9" s="85"/>
      <c r="D9" s="85"/>
      <c r="E9" s="95"/>
      <c r="F9" s="96">
        <f>SUM(F2:F8)</f>
        <v>187620000</v>
      </c>
    </row>
  </sheetData>
  <pageMargins left="0.7" right="0.7" top="0.75" bottom="0.75" header="0.3" footer="0.3"/>
  <pageSetup scale="9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Хүснэгт1</vt:lpstr>
      <vt:lpstr>Хүснэгт 2</vt:lpstr>
      <vt:lpstr>Хөрөнгө оруулалт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2025-08-04T06:25:17Z</cp:lastPrinted>
  <dcterms:created xsi:type="dcterms:W3CDTF">2025-05-12T05:20:27Z</dcterms:created>
  <dcterms:modified xsi:type="dcterms:W3CDTF">2025-10-01T09:08:15Z</dcterms:modified>
</cp:coreProperties>
</file>